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METANOVAD\Documents\Hlášení_kolekt_správci\Zvukové dokumenty\2018\ADR\"/>
    </mc:Choice>
  </mc:AlternateContent>
  <bookViews>
    <workbookView xWindow="0" yWindow="0" windowWidth="28605" windowHeight="10920"/>
  </bookViews>
  <sheets>
    <sheet name="z vlastních fondů" sheetId="2" r:id="rId1"/>
    <sheet name="z výměnných fondů" sheetId="5" r:id="rId2"/>
  </sheets>
  <calcPr calcId="162913"/>
</workbook>
</file>

<file path=xl/calcChain.xml><?xml version="1.0" encoding="utf-8"?>
<calcChain xmlns="http://schemas.openxmlformats.org/spreadsheetml/2006/main">
  <c r="E937" i="5" l="1"/>
  <c r="A937" i="5"/>
  <c r="E152" i="2" l="1"/>
  <c r="E92" i="5" l="1"/>
  <c r="A92" i="5"/>
  <c r="E837" i="5"/>
  <c r="A837" i="5"/>
  <c r="E836" i="5"/>
  <c r="A836" i="5"/>
  <c r="E835" i="5"/>
  <c r="A835" i="5"/>
  <c r="E203" i="5"/>
  <c r="A203" i="5"/>
  <c r="E936" i="5"/>
  <c r="A936" i="5"/>
  <c r="E935" i="5"/>
  <c r="A935" i="5"/>
  <c r="E934" i="5"/>
  <c r="A934" i="5"/>
  <c r="E933" i="5"/>
  <c r="A933" i="5"/>
  <c r="E932" i="5"/>
  <c r="A932" i="5"/>
  <c r="E931" i="5"/>
  <c r="A931" i="5"/>
  <c r="E930" i="5"/>
  <c r="A930" i="5"/>
  <c r="E929" i="5"/>
  <c r="A929" i="5"/>
  <c r="E928" i="5"/>
  <c r="A928" i="5"/>
  <c r="E927" i="5"/>
  <c r="A927" i="5"/>
  <c r="E926" i="5"/>
  <c r="A926" i="5"/>
  <c r="E925" i="5"/>
  <c r="A925" i="5"/>
  <c r="E924" i="5"/>
  <c r="A924" i="5"/>
  <c r="E923" i="5"/>
  <c r="A923" i="5"/>
  <c r="E922" i="5"/>
  <c r="A922" i="5"/>
  <c r="E921" i="5"/>
  <c r="A921" i="5"/>
  <c r="E920" i="5"/>
  <c r="A920" i="5"/>
  <c r="E919" i="5"/>
  <c r="A919" i="5"/>
  <c r="E918" i="5"/>
  <c r="A918" i="5"/>
  <c r="E917" i="5"/>
  <c r="A917" i="5"/>
  <c r="E916" i="5"/>
  <c r="A916" i="5"/>
  <c r="E915" i="5"/>
  <c r="A915" i="5"/>
  <c r="E914" i="5"/>
  <c r="A914" i="5"/>
  <c r="E913" i="5"/>
  <c r="A913" i="5"/>
  <c r="E912" i="5"/>
  <c r="A912" i="5"/>
  <c r="E911" i="5"/>
  <c r="A911" i="5"/>
  <c r="E910" i="5"/>
  <c r="A910" i="5"/>
  <c r="E909" i="5"/>
  <c r="A909" i="5"/>
  <c r="E908" i="5"/>
  <c r="A908" i="5"/>
  <c r="E907" i="5"/>
  <c r="A907" i="5"/>
  <c r="E906" i="5"/>
  <c r="A906" i="5"/>
  <c r="E905" i="5"/>
  <c r="A905" i="5"/>
  <c r="E904" i="5"/>
  <c r="A904" i="5"/>
  <c r="E903" i="5"/>
  <c r="A903" i="5"/>
  <c r="E902" i="5"/>
  <c r="A902" i="5"/>
  <c r="E901" i="5"/>
  <c r="A901" i="5"/>
  <c r="E900" i="5"/>
  <c r="A900" i="5"/>
  <c r="E899" i="5"/>
  <c r="A899" i="5"/>
  <c r="E898" i="5"/>
  <c r="A898" i="5"/>
  <c r="E897" i="5"/>
  <c r="A897" i="5"/>
  <c r="E896" i="5"/>
  <c r="A896" i="5"/>
  <c r="E895" i="5"/>
  <c r="A895" i="5"/>
  <c r="E894" i="5"/>
  <c r="A894" i="5"/>
  <c r="E893" i="5"/>
  <c r="A893" i="5"/>
  <c r="E892" i="5"/>
  <c r="A892" i="5"/>
  <c r="E891" i="5"/>
  <c r="A891" i="5"/>
  <c r="E890" i="5"/>
  <c r="A890" i="5"/>
  <c r="E889" i="5"/>
  <c r="A889" i="5"/>
  <c r="E888" i="5"/>
  <c r="A888" i="5"/>
  <c r="E887" i="5"/>
  <c r="A887" i="5"/>
  <c r="E886" i="5"/>
  <c r="A886" i="5"/>
  <c r="E885" i="5"/>
  <c r="A885" i="5"/>
  <c r="E884" i="5"/>
  <c r="A884" i="5"/>
  <c r="E883" i="5"/>
  <c r="A883" i="5"/>
  <c r="E882" i="5"/>
  <c r="A882" i="5"/>
  <c r="E881" i="5"/>
  <c r="A881" i="5"/>
  <c r="E880" i="5"/>
  <c r="A880" i="5"/>
  <c r="E879" i="5"/>
  <c r="A879" i="5"/>
  <c r="E878" i="5"/>
  <c r="A878" i="5"/>
  <c r="E877" i="5"/>
  <c r="A877" i="5"/>
  <c r="E876" i="5"/>
  <c r="A876" i="5"/>
  <c r="E875" i="5"/>
  <c r="A875" i="5"/>
  <c r="E874" i="5"/>
  <c r="A874" i="5"/>
  <c r="E873" i="5"/>
  <c r="A873" i="5"/>
  <c r="E872" i="5"/>
  <c r="A872" i="5"/>
  <c r="E871" i="5"/>
  <c r="A871" i="5"/>
  <c r="E870" i="5"/>
  <c r="A870" i="5"/>
  <c r="E869" i="5"/>
  <c r="A869" i="5"/>
  <c r="E868" i="5"/>
  <c r="A868" i="5"/>
  <c r="E867" i="5"/>
  <c r="A867" i="5"/>
  <c r="E866" i="5"/>
  <c r="A866" i="5"/>
  <c r="E865" i="5"/>
  <c r="A865" i="5"/>
  <c r="E864" i="5"/>
  <c r="A864" i="5"/>
  <c r="E863" i="5"/>
  <c r="A863" i="5"/>
  <c r="E202" i="5"/>
  <c r="A202" i="5"/>
  <c r="E201" i="5"/>
  <c r="A201" i="5"/>
  <c r="E200" i="5"/>
  <c r="A200" i="5"/>
  <c r="E199" i="5"/>
  <c r="A199" i="5"/>
  <c r="E198" i="5"/>
  <c r="A198" i="5"/>
  <c r="E197" i="5"/>
  <c r="A197" i="5"/>
  <c r="E196" i="5"/>
  <c r="A196" i="5"/>
  <c r="E195" i="5"/>
  <c r="A195" i="5"/>
  <c r="E194" i="5"/>
  <c r="A194" i="5"/>
  <c r="E193" i="5"/>
  <c r="A193" i="5"/>
  <c r="E192" i="5"/>
  <c r="A192" i="5"/>
  <c r="E191" i="5"/>
  <c r="A191" i="5"/>
  <c r="E190" i="5"/>
  <c r="A190" i="5"/>
  <c r="E189" i="5"/>
  <c r="A189" i="5"/>
  <c r="E188" i="5"/>
  <c r="A188" i="5"/>
  <c r="E187" i="5"/>
  <c r="A187" i="5"/>
  <c r="E186" i="5"/>
  <c r="A186" i="5"/>
  <c r="E185" i="5"/>
  <c r="A185" i="5"/>
  <c r="E184" i="5"/>
  <c r="A184" i="5"/>
  <c r="E183" i="5"/>
  <c r="A183" i="5"/>
  <c r="E182" i="5"/>
  <c r="A182" i="5"/>
  <c r="E181" i="5"/>
  <c r="A181" i="5"/>
  <c r="E180" i="5"/>
  <c r="A180" i="5"/>
  <c r="E179" i="5"/>
  <c r="A179" i="5"/>
  <c r="E178" i="5"/>
  <c r="A178" i="5"/>
  <c r="E177" i="5"/>
  <c r="A177" i="5"/>
  <c r="E176" i="5"/>
  <c r="A176" i="5"/>
  <c r="E175" i="5"/>
  <c r="A175" i="5"/>
  <c r="E174" i="5"/>
  <c r="A174" i="5"/>
  <c r="E173" i="5"/>
  <c r="A173" i="5"/>
  <c r="E172" i="5"/>
  <c r="A172" i="5"/>
  <c r="E171" i="5"/>
  <c r="A171" i="5"/>
  <c r="E170" i="5"/>
  <c r="A170" i="5"/>
  <c r="E169" i="5"/>
  <c r="A169" i="5"/>
  <c r="E168" i="5"/>
  <c r="A168" i="5"/>
  <c r="E167" i="5"/>
  <c r="A167" i="5"/>
  <c r="E166" i="5"/>
  <c r="A166" i="5"/>
  <c r="E165" i="5"/>
  <c r="A165" i="5"/>
  <c r="E164" i="5"/>
  <c r="A164" i="5"/>
  <c r="E163" i="5"/>
  <c r="A163" i="5"/>
  <c r="E162" i="5"/>
  <c r="A162" i="5"/>
  <c r="E161" i="5"/>
  <c r="A161" i="5"/>
  <c r="E160" i="5"/>
  <c r="A160" i="5"/>
  <c r="E159" i="5"/>
  <c r="A159" i="5"/>
  <c r="E158" i="5"/>
  <c r="A158" i="5"/>
  <c r="E157" i="5"/>
  <c r="A157" i="5"/>
  <c r="E156" i="5"/>
  <c r="A156" i="5"/>
  <c r="E155" i="5"/>
  <c r="A155" i="5"/>
  <c r="E154" i="5"/>
  <c r="A154" i="5"/>
  <c r="E153" i="5"/>
  <c r="A153" i="5"/>
  <c r="E152" i="5"/>
  <c r="A152" i="5"/>
  <c r="E151" i="5"/>
  <c r="A151" i="5"/>
  <c r="E150" i="5"/>
  <c r="A150" i="5"/>
  <c r="E149" i="5"/>
  <c r="A149" i="5"/>
  <c r="E148" i="5"/>
  <c r="A148" i="5"/>
  <c r="E147" i="5"/>
  <c r="A147" i="5"/>
  <c r="E146" i="5"/>
  <c r="A146" i="5"/>
  <c r="E145" i="5"/>
  <c r="A145" i="5"/>
  <c r="E144" i="5"/>
  <c r="A144" i="5"/>
  <c r="E143" i="5"/>
  <c r="A143" i="5"/>
  <c r="E142" i="5"/>
  <c r="A142" i="5"/>
  <c r="E141" i="5"/>
  <c r="A141" i="5"/>
  <c r="E140" i="5"/>
  <c r="A140" i="5"/>
  <c r="E139" i="5"/>
  <c r="A139" i="5"/>
  <c r="E138" i="5"/>
  <c r="A138" i="5"/>
  <c r="E137" i="5"/>
  <c r="A137" i="5"/>
  <c r="E136" i="5"/>
  <c r="A136" i="5"/>
  <c r="E135" i="5"/>
  <c r="A135" i="5"/>
  <c r="E134" i="5"/>
  <c r="A134" i="5"/>
  <c r="E133" i="5"/>
  <c r="A133" i="5"/>
  <c r="E132" i="5"/>
  <c r="A132" i="5"/>
  <c r="E131" i="5"/>
  <c r="A131" i="5"/>
  <c r="E862" i="5"/>
  <c r="A862" i="5"/>
  <c r="E861" i="5"/>
  <c r="A861" i="5"/>
  <c r="E860" i="5"/>
  <c r="A860" i="5"/>
  <c r="E859" i="5"/>
  <c r="A859" i="5"/>
  <c r="E858" i="5"/>
  <c r="A858" i="5"/>
  <c r="E857" i="5"/>
  <c r="A857" i="5"/>
  <c r="E856" i="5"/>
  <c r="A856" i="5"/>
  <c r="E855" i="5"/>
  <c r="A855" i="5"/>
  <c r="E854" i="5"/>
  <c r="A854" i="5"/>
  <c r="E853" i="5"/>
  <c r="A853" i="5"/>
  <c r="E852" i="5"/>
  <c r="A852" i="5"/>
  <c r="E851" i="5"/>
  <c r="A851" i="5"/>
  <c r="E850" i="5"/>
  <c r="A850" i="5"/>
  <c r="E849" i="5"/>
  <c r="A849" i="5"/>
  <c r="E848" i="5"/>
  <c r="A848" i="5"/>
  <c r="E847" i="5"/>
  <c r="A847" i="5"/>
  <c r="E846" i="5"/>
  <c r="A846" i="5"/>
  <c r="E845" i="5"/>
  <c r="A845" i="5"/>
  <c r="E844" i="5"/>
  <c r="A844" i="5"/>
  <c r="E843" i="5"/>
  <c r="A843" i="5"/>
  <c r="E842" i="5"/>
  <c r="A842" i="5"/>
  <c r="E841" i="5"/>
  <c r="A841" i="5"/>
  <c r="E840" i="5"/>
  <c r="A840" i="5"/>
  <c r="E839" i="5"/>
  <c r="A839" i="5"/>
  <c r="E838" i="5"/>
  <c r="A838" i="5"/>
  <c r="E834" i="5"/>
  <c r="A834" i="5"/>
  <c r="E833" i="5"/>
  <c r="A833" i="5"/>
  <c r="E826" i="5"/>
  <c r="A826" i="5"/>
  <c r="E825" i="5"/>
  <c r="A825" i="5"/>
  <c r="E824" i="5"/>
  <c r="A824" i="5"/>
  <c r="E823" i="5"/>
  <c r="A823" i="5"/>
  <c r="E822" i="5"/>
  <c r="A822" i="5"/>
  <c r="E821" i="5"/>
  <c r="A821" i="5"/>
  <c r="E820" i="5"/>
  <c r="A820" i="5"/>
  <c r="E819" i="5"/>
  <c r="A819" i="5"/>
  <c r="E818" i="5"/>
  <c r="A818" i="5"/>
  <c r="E817" i="5"/>
  <c r="A817" i="5"/>
  <c r="E816" i="5"/>
  <c r="A816" i="5"/>
  <c r="E815" i="5"/>
  <c r="A815" i="5"/>
  <c r="E814" i="5"/>
  <c r="A814" i="5"/>
  <c r="E813" i="5"/>
  <c r="A813" i="5"/>
  <c r="E91" i="5"/>
  <c r="A91" i="5"/>
  <c r="E90" i="5"/>
  <c r="A90" i="5"/>
  <c r="E89" i="5"/>
  <c r="A89" i="5"/>
  <c r="E88" i="5"/>
  <c r="A88" i="5"/>
  <c r="E87" i="5"/>
  <c r="A87" i="5"/>
  <c r="E86" i="5"/>
  <c r="A86" i="5"/>
  <c r="E85" i="5"/>
  <c r="A85" i="5"/>
  <c r="E84" i="5"/>
  <c r="A84" i="5"/>
  <c r="E83" i="5"/>
  <c r="A83" i="5"/>
  <c r="E82" i="5"/>
  <c r="A82" i="5"/>
  <c r="E81" i="5"/>
  <c r="A81" i="5"/>
  <c r="E80" i="5"/>
  <c r="A80" i="5"/>
  <c r="E79" i="5"/>
  <c r="A79" i="5"/>
  <c r="E78" i="5"/>
  <c r="A78" i="5"/>
  <c r="E77" i="5"/>
  <c r="A77" i="5"/>
  <c r="E76" i="5"/>
  <c r="A76" i="5"/>
  <c r="E75" i="5"/>
  <c r="A75" i="5"/>
  <c r="E74" i="5"/>
  <c r="A74" i="5"/>
  <c r="E301" i="5"/>
  <c r="A301" i="5"/>
  <c r="E300" i="5"/>
  <c r="A300" i="5"/>
  <c r="E299" i="5"/>
  <c r="A299" i="5"/>
  <c r="E298" i="5"/>
  <c r="A298" i="5"/>
  <c r="E297" i="5"/>
  <c r="A297" i="5"/>
  <c r="E73" i="5"/>
  <c r="A73" i="5"/>
  <c r="E72" i="5"/>
  <c r="A72" i="5"/>
  <c r="E71" i="5"/>
  <c r="A71" i="5"/>
  <c r="E70" i="5"/>
  <c r="A70" i="5"/>
  <c r="E69" i="5"/>
  <c r="A69" i="5"/>
  <c r="E68" i="5"/>
  <c r="A68" i="5"/>
  <c r="E67" i="5"/>
  <c r="A67" i="5"/>
  <c r="E66" i="5"/>
  <c r="A66" i="5"/>
  <c r="E65" i="5"/>
  <c r="A65" i="5"/>
  <c r="E64" i="5"/>
  <c r="A64" i="5"/>
  <c r="E63" i="5"/>
  <c r="A63" i="5"/>
  <c r="E62" i="5"/>
  <c r="A62" i="5"/>
  <c r="E61" i="5"/>
  <c r="A61" i="5"/>
  <c r="E255" i="5"/>
  <c r="A255" i="5"/>
  <c r="E60" i="5"/>
  <c r="A60" i="5"/>
  <c r="E59" i="5"/>
  <c r="A59" i="5"/>
  <c r="E811" i="5"/>
  <c r="A811" i="5"/>
  <c r="E810" i="5"/>
  <c r="A810" i="5"/>
  <c r="E809" i="5"/>
  <c r="A809" i="5"/>
  <c r="E808" i="5"/>
  <c r="A808" i="5"/>
  <c r="E807" i="5"/>
  <c r="A807" i="5"/>
  <c r="E806" i="5"/>
  <c r="A806" i="5"/>
  <c r="E805" i="5"/>
  <c r="A805" i="5"/>
  <c r="E804" i="5"/>
  <c r="A804" i="5"/>
  <c r="E803" i="5"/>
  <c r="A803" i="5"/>
  <c r="E802" i="5"/>
  <c r="A802" i="5"/>
  <c r="E801" i="5"/>
  <c r="A801" i="5"/>
  <c r="E800" i="5"/>
  <c r="A800" i="5"/>
  <c r="E799" i="5"/>
  <c r="A799" i="5"/>
  <c r="E798" i="5"/>
  <c r="A798" i="5"/>
  <c r="E797" i="5"/>
  <c r="A797" i="5"/>
  <c r="E796" i="5"/>
  <c r="A796" i="5"/>
  <c r="E795" i="5"/>
  <c r="A795" i="5"/>
  <c r="E794" i="5"/>
  <c r="A794" i="5"/>
  <c r="E793" i="5"/>
  <c r="A793" i="5"/>
  <c r="E792" i="5"/>
  <c r="A792" i="5"/>
  <c r="E791" i="5"/>
  <c r="A791" i="5"/>
  <c r="E790" i="5"/>
  <c r="A790" i="5"/>
  <c r="E789" i="5"/>
  <c r="A789" i="5"/>
  <c r="E788" i="5"/>
  <c r="A788" i="5"/>
  <c r="E787" i="5"/>
  <c r="A787" i="5"/>
  <c r="E786" i="5"/>
  <c r="A786" i="5"/>
  <c r="E785" i="5"/>
  <c r="A785" i="5"/>
  <c r="E784" i="5"/>
  <c r="A784" i="5"/>
  <c r="E783" i="5"/>
  <c r="A783" i="5"/>
  <c r="E782" i="5"/>
  <c r="A782" i="5"/>
  <c r="E781" i="5"/>
  <c r="A781" i="5"/>
  <c r="E780" i="5"/>
  <c r="A780" i="5"/>
  <c r="E779" i="5"/>
  <c r="A779" i="5"/>
  <c r="E778" i="5"/>
  <c r="A778" i="5"/>
  <c r="E777" i="5"/>
  <c r="A777" i="5"/>
  <c r="E776" i="5"/>
  <c r="A776" i="5"/>
  <c r="E775" i="5"/>
  <c r="A775" i="5"/>
  <c r="E774" i="5"/>
  <c r="A774" i="5"/>
  <c r="E773" i="5"/>
  <c r="A773" i="5"/>
  <c r="E772" i="5"/>
  <c r="A772" i="5"/>
  <c r="E771" i="5"/>
  <c r="A771" i="5"/>
  <c r="E770" i="5"/>
  <c r="A770" i="5"/>
  <c r="E769" i="5"/>
  <c r="A769" i="5"/>
  <c r="E768" i="5"/>
  <c r="A768" i="5"/>
  <c r="E767" i="5"/>
  <c r="A767" i="5"/>
  <c r="E766" i="5"/>
  <c r="A766" i="5"/>
  <c r="E765" i="5"/>
  <c r="A765" i="5"/>
  <c r="E764" i="5"/>
  <c r="A764" i="5"/>
  <c r="E763" i="5"/>
  <c r="A763" i="5"/>
  <c r="E762" i="5"/>
  <c r="A762" i="5"/>
  <c r="E761" i="5"/>
  <c r="A761" i="5"/>
  <c r="E760" i="5"/>
  <c r="A760" i="5"/>
  <c r="E759" i="5"/>
  <c r="A759" i="5"/>
  <c r="E758" i="5"/>
  <c r="A758" i="5"/>
  <c r="E757" i="5"/>
  <c r="A757" i="5"/>
  <c r="E756" i="5"/>
  <c r="A756" i="5"/>
  <c r="E755" i="5"/>
  <c r="A755" i="5"/>
  <c r="E754" i="5"/>
  <c r="A754" i="5"/>
  <c r="E753" i="5"/>
  <c r="A753" i="5"/>
  <c r="E752" i="5"/>
  <c r="A752" i="5"/>
  <c r="E751" i="5"/>
  <c r="A751" i="5"/>
  <c r="E750" i="5"/>
  <c r="A750" i="5"/>
  <c r="E749" i="5"/>
  <c r="A749" i="5"/>
  <c r="E748" i="5"/>
  <c r="A748" i="5"/>
  <c r="E747" i="5"/>
  <c r="A747" i="5"/>
  <c r="E746" i="5"/>
  <c r="A746" i="5"/>
  <c r="E745" i="5"/>
  <c r="A745" i="5"/>
  <c r="E744" i="5"/>
  <c r="A744" i="5"/>
  <c r="E296" i="5"/>
  <c r="A296" i="5"/>
  <c r="E295" i="5"/>
  <c r="A295" i="5"/>
  <c r="E294" i="5"/>
  <c r="A294" i="5"/>
  <c r="E293" i="5"/>
  <c r="A293" i="5"/>
  <c r="E292" i="5"/>
  <c r="A292" i="5"/>
  <c r="E291" i="5"/>
  <c r="A291" i="5"/>
  <c r="E290" i="5"/>
  <c r="A290" i="5"/>
  <c r="E289" i="5"/>
  <c r="A289" i="5"/>
  <c r="E288" i="5"/>
  <c r="A288" i="5"/>
  <c r="E287" i="5"/>
  <c r="A287" i="5"/>
  <c r="E286" i="5"/>
  <c r="A286" i="5"/>
  <c r="E285" i="5"/>
  <c r="A285" i="5"/>
  <c r="E284" i="5"/>
  <c r="A284" i="5"/>
  <c r="E283" i="5"/>
  <c r="A283" i="5"/>
  <c r="E282" i="5"/>
  <c r="A282" i="5"/>
  <c r="E281" i="5"/>
  <c r="A281" i="5"/>
  <c r="E280" i="5"/>
  <c r="A280" i="5"/>
  <c r="E279" i="5"/>
  <c r="A279" i="5"/>
  <c r="E278" i="5"/>
  <c r="A278" i="5"/>
  <c r="E277" i="5"/>
  <c r="A277" i="5"/>
  <c r="E276" i="5"/>
  <c r="A276" i="5"/>
  <c r="E275" i="5"/>
  <c r="A275" i="5"/>
  <c r="E274" i="5"/>
  <c r="A274" i="5"/>
  <c r="E273" i="5"/>
  <c r="A273" i="5"/>
  <c r="E272" i="5"/>
  <c r="A272" i="5"/>
  <c r="E271" i="5"/>
  <c r="A271" i="5"/>
  <c r="E270" i="5"/>
  <c r="A270" i="5"/>
  <c r="E269" i="5"/>
  <c r="A269" i="5"/>
  <c r="E268" i="5"/>
  <c r="A268" i="5"/>
  <c r="E267" i="5"/>
  <c r="A267" i="5"/>
  <c r="E266" i="5"/>
  <c r="A266" i="5"/>
  <c r="E265" i="5"/>
  <c r="A265" i="5"/>
  <c r="E264" i="5"/>
  <c r="A264" i="5"/>
  <c r="E263" i="5"/>
  <c r="A263" i="5"/>
  <c r="E262" i="5"/>
  <c r="A262" i="5"/>
  <c r="E261" i="5"/>
  <c r="A261" i="5"/>
  <c r="E260" i="5"/>
  <c r="A260" i="5"/>
  <c r="E259" i="5"/>
  <c r="A259" i="5"/>
  <c r="E258" i="5"/>
  <c r="A258" i="5"/>
  <c r="E257" i="5"/>
  <c r="A257" i="5"/>
  <c r="E256" i="5"/>
  <c r="A256" i="5"/>
  <c r="E254" i="5"/>
  <c r="A254" i="5"/>
  <c r="E253" i="5"/>
  <c r="A253" i="5"/>
  <c r="E252" i="5"/>
  <c r="A252" i="5"/>
  <c r="E251" i="5"/>
  <c r="A251" i="5"/>
  <c r="E250" i="5"/>
  <c r="A250" i="5"/>
  <c r="E249" i="5"/>
  <c r="A249" i="5"/>
  <c r="E248" i="5"/>
  <c r="A248" i="5"/>
  <c r="E247" i="5"/>
  <c r="A247" i="5"/>
  <c r="E743" i="5"/>
  <c r="A743" i="5"/>
  <c r="E742" i="5"/>
  <c r="A742" i="5"/>
  <c r="E741" i="5"/>
  <c r="A741" i="5"/>
  <c r="E740" i="5"/>
  <c r="A740" i="5"/>
  <c r="E739" i="5"/>
  <c r="A739" i="5"/>
  <c r="E738" i="5"/>
  <c r="A738" i="5"/>
  <c r="E737" i="5"/>
  <c r="A737" i="5"/>
  <c r="E736" i="5"/>
  <c r="A736" i="5"/>
  <c r="E735" i="5"/>
  <c r="A735" i="5"/>
  <c r="E734" i="5"/>
  <c r="A734" i="5"/>
  <c r="E733" i="5"/>
  <c r="A733" i="5"/>
  <c r="E732" i="5"/>
  <c r="A732" i="5"/>
  <c r="E731" i="5"/>
  <c r="A731" i="5"/>
  <c r="E730" i="5"/>
  <c r="A730" i="5"/>
  <c r="E729" i="5"/>
  <c r="A729" i="5"/>
  <c r="E728" i="5"/>
  <c r="A728" i="5"/>
  <c r="E727" i="5"/>
  <c r="A727" i="5"/>
  <c r="E726" i="5"/>
  <c r="A726" i="5"/>
  <c r="E725" i="5"/>
  <c r="A725" i="5"/>
  <c r="E724" i="5"/>
  <c r="A724" i="5"/>
  <c r="E723" i="5"/>
  <c r="A723" i="5"/>
  <c r="E722" i="5"/>
  <c r="A722" i="5"/>
  <c r="E721" i="5"/>
  <c r="A721" i="5"/>
  <c r="E720" i="5"/>
  <c r="A720" i="5"/>
  <c r="E719" i="5"/>
  <c r="A719" i="5"/>
  <c r="E718" i="5"/>
  <c r="A718" i="5"/>
  <c r="E717" i="5"/>
  <c r="A717" i="5"/>
  <c r="E716" i="5"/>
  <c r="A716" i="5"/>
  <c r="E715" i="5"/>
  <c r="A715" i="5"/>
  <c r="E714" i="5"/>
  <c r="A714" i="5"/>
  <c r="E713" i="5"/>
  <c r="A713" i="5"/>
  <c r="E712" i="5"/>
  <c r="A712" i="5"/>
  <c r="E711" i="5"/>
  <c r="A711" i="5"/>
  <c r="E710" i="5"/>
  <c r="A710" i="5"/>
  <c r="E709" i="5"/>
  <c r="A709" i="5"/>
  <c r="E708" i="5"/>
  <c r="A708" i="5"/>
  <c r="E707" i="5"/>
  <c r="A707" i="5"/>
  <c r="E706" i="5"/>
  <c r="A706" i="5"/>
  <c r="E705" i="5"/>
  <c r="A705" i="5"/>
  <c r="E704" i="5"/>
  <c r="A704" i="5"/>
  <c r="E703" i="5"/>
  <c r="A703" i="5"/>
  <c r="E702" i="5"/>
  <c r="A702" i="5"/>
  <c r="E701" i="5"/>
  <c r="A701" i="5"/>
  <c r="E700" i="5"/>
  <c r="A700" i="5"/>
  <c r="E699" i="5"/>
  <c r="A699" i="5"/>
  <c r="E698" i="5"/>
  <c r="A698" i="5"/>
  <c r="E697" i="5"/>
  <c r="A697" i="5"/>
  <c r="E696" i="5"/>
  <c r="A696" i="5"/>
  <c r="E695" i="5"/>
  <c r="A695" i="5"/>
  <c r="E694" i="5"/>
  <c r="A694" i="5"/>
  <c r="E693" i="5"/>
  <c r="A693" i="5"/>
  <c r="E692" i="5"/>
  <c r="A692" i="5"/>
  <c r="E691" i="5"/>
  <c r="A691" i="5"/>
  <c r="E690" i="5"/>
  <c r="A690" i="5"/>
  <c r="E689" i="5"/>
  <c r="A689" i="5"/>
  <c r="E688" i="5"/>
  <c r="A688" i="5"/>
  <c r="E687" i="5"/>
  <c r="A687" i="5"/>
  <c r="E686" i="5"/>
  <c r="A686" i="5"/>
  <c r="E685" i="5"/>
  <c r="A685" i="5"/>
  <c r="E684" i="5"/>
  <c r="A684" i="5"/>
  <c r="E683" i="5"/>
  <c r="A683" i="5"/>
  <c r="E682" i="5"/>
  <c r="A682" i="5"/>
  <c r="E681" i="5"/>
  <c r="A681" i="5"/>
  <c r="E680" i="5"/>
  <c r="A680" i="5"/>
  <c r="E679" i="5"/>
  <c r="A679" i="5"/>
  <c r="E678" i="5"/>
  <c r="A678" i="5"/>
  <c r="E677" i="5"/>
  <c r="A677" i="5"/>
  <c r="E676" i="5"/>
  <c r="A676" i="5"/>
  <c r="E675" i="5"/>
  <c r="A675" i="5"/>
  <c r="E674" i="5"/>
  <c r="A674" i="5"/>
  <c r="E673" i="5"/>
  <c r="A673" i="5"/>
  <c r="E672" i="5"/>
  <c r="A672" i="5"/>
  <c r="E237" i="5"/>
  <c r="A237" i="5"/>
  <c r="E236" i="5"/>
  <c r="A236" i="5"/>
  <c r="E235" i="5"/>
  <c r="A235" i="5"/>
  <c r="E234" i="5"/>
  <c r="A234" i="5"/>
  <c r="E233" i="5"/>
  <c r="A233" i="5"/>
  <c r="E232" i="5"/>
  <c r="A232" i="5"/>
  <c r="E231" i="5"/>
  <c r="A231" i="5"/>
  <c r="E230" i="5"/>
  <c r="A230" i="5"/>
  <c r="E229" i="5"/>
  <c r="A229" i="5"/>
  <c r="E228" i="5"/>
  <c r="A228" i="5"/>
  <c r="E227" i="5"/>
  <c r="A227" i="5"/>
  <c r="E226" i="5"/>
  <c r="A226" i="5"/>
  <c r="E225" i="5"/>
  <c r="A225" i="5"/>
  <c r="E224" i="5"/>
  <c r="A224" i="5"/>
  <c r="E223" i="5"/>
  <c r="A223" i="5"/>
  <c r="E222" i="5"/>
  <c r="A222" i="5"/>
  <c r="E221" i="5"/>
  <c r="A221" i="5"/>
  <c r="E220" i="5"/>
  <c r="A220" i="5"/>
  <c r="E219" i="5"/>
  <c r="A219" i="5"/>
  <c r="E218" i="5"/>
  <c r="A218" i="5"/>
  <c r="E217" i="5"/>
  <c r="A217" i="5"/>
  <c r="E812" i="5"/>
  <c r="A812" i="5"/>
  <c r="E671" i="5"/>
  <c r="A671" i="5"/>
  <c r="E670" i="5"/>
  <c r="A670" i="5"/>
  <c r="E669" i="5"/>
  <c r="A669" i="5"/>
  <c r="E668" i="5"/>
  <c r="A668" i="5"/>
  <c r="E667" i="5"/>
  <c r="A667" i="5"/>
  <c r="E666" i="5"/>
  <c r="A666" i="5"/>
  <c r="E665" i="5"/>
  <c r="A665" i="5"/>
  <c r="E664" i="5"/>
  <c r="A664" i="5"/>
  <c r="E663" i="5"/>
  <c r="A663" i="5"/>
  <c r="E662" i="5"/>
  <c r="A662" i="5"/>
  <c r="E661" i="5"/>
  <c r="A661" i="5"/>
  <c r="E660" i="5"/>
  <c r="A660" i="5"/>
  <c r="E659" i="5"/>
  <c r="A659" i="5"/>
  <c r="E658" i="5"/>
  <c r="A658" i="5"/>
  <c r="E657" i="5"/>
  <c r="A657" i="5"/>
  <c r="E656" i="5"/>
  <c r="A656" i="5"/>
  <c r="E655" i="5"/>
  <c r="A655" i="5"/>
  <c r="E654" i="5"/>
  <c r="A654" i="5"/>
  <c r="E653" i="5"/>
  <c r="A653" i="5"/>
  <c r="E652" i="5"/>
  <c r="A652" i="5"/>
  <c r="E651" i="5"/>
  <c r="A651" i="5"/>
  <c r="E650" i="5"/>
  <c r="A650" i="5"/>
  <c r="E649" i="5"/>
  <c r="A649" i="5"/>
  <c r="E648" i="5"/>
  <c r="A648" i="5"/>
  <c r="E647" i="5"/>
  <c r="A647" i="5"/>
  <c r="E646" i="5"/>
  <c r="A646" i="5"/>
  <c r="E645" i="5"/>
  <c r="A645" i="5"/>
  <c r="E644" i="5"/>
  <c r="A644" i="5"/>
  <c r="E643" i="5"/>
  <c r="A643" i="5"/>
  <c r="E642" i="5"/>
  <c r="A642" i="5"/>
  <c r="E641" i="5"/>
  <c r="A641" i="5"/>
  <c r="E640" i="5"/>
  <c r="A640" i="5"/>
  <c r="E639" i="5"/>
  <c r="A639" i="5"/>
  <c r="E638" i="5"/>
  <c r="A638" i="5"/>
  <c r="E637" i="5"/>
  <c r="A637" i="5"/>
  <c r="E636" i="5"/>
  <c r="A636" i="5"/>
  <c r="E635" i="5"/>
  <c r="A635" i="5"/>
  <c r="E634" i="5"/>
  <c r="A634" i="5"/>
  <c r="E633" i="5"/>
  <c r="A633" i="5"/>
  <c r="E632" i="5"/>
  <c r="A632" i="5"/>
  <c r="E631" i="5"/>
  <c r="A631" i="5"/>
  <c r="E630" i="5"/>
  <c r="A630" i="5"/>
  <c r="E629" i="5"/>
  <c r="A629" i="5"/>
  <c r="E628" i="5"/>
  <c r="A628" i="5"/>
  <c r="E627" i="5"/>
  <c r="A627" i="5"/>
  <c r="E626" i="5"/>
  <c r="A626" i="5"/>
  <c r="E625" i="5"/>
  <c r="A625" i="5"/>
  <c r="E624" i="5"/>
  <c r="A624" i="5"/>
  <c r="E623" i="5"/>
  <c r="A623" i="5"/>
  <c r="E622" i="5"/>
  <c r="A622" i="5"/>
  <c r="E621" i="5"/>
  <c r="A621" i="5"/>
  <c r="E620" i="5"/>
  <c r="A620" i="5"/>
  <c r="E619" i="5"/>
  <c r="A619" i="5"/>
  <c r="E618" i="5"/>
  <c r="A618" i="5"/>
  <c r="E617" i="5"/>
  <c r="A617" i="5"/>
  <c r="E616" i="5"/>
  <c r="A616" i="5"/>
  <c r="E615" i="5"/>
  <c r="A615" i="5"/>
  <c r="E614" i="5"/>
  <c r="A614" i="5"/>
  <c r="E613" i="5"/>
  <c r="A613" i="5"/>
  <c r="E612" i="5"/>
  <c r="A612" i="5"/>
  <c r="E611" i="5"/>
  <c r="A611" i="5"/>
  <c r="E610" i="5"/>
  <c r="A610" i="5"/>
  <c r="E609" i="5"/>
  <c r="A609" i="5"/>
  <c r="E608" i="5"/>
  <c r="A608" i="5"/>
  <c r="E607" i="5"/>
  <c r="A607" i="5"/>
  <c r="E606" i="5"/>
  <c r="A606" i="5"/>
  <c r="E605" i="5"/>
  <c r="A605" i="5"/>
  <c r="E604" i="5"/>
  <c r="A604" i="5"/>
  <c r="E603" i="5"/>
  <c r="A603" i="5"/>
  <c r="E602" i="5"/>
  <c r="A602" i="5"/>
  <c r="E601" i="5"/>
  <c r="A601" i="5"/>
  <c r="E600" i="5"/>
  <c r="A600" i="5"/>
  <c r="E599" i="5"/>
  <c r="A599" i="5"/>
  <c r="E598" i="5"/>
  <c r="A598" i="5"/>
  <c r="E597" i="5"/>
  <c r="A597" i="5"/>
  <c r="E596" i="5"/>
  <c r="A596" i="5"/>
  <c r="E595" i="5"/>
  <c r="A595" i="5"/>
  <c r="E594" i="5"/>
  <c r="A594" i="5"/>
  <c r="E593" i="5"/>
  <c r="A593" i="5"/>
  <c r="E592" i="5"/>
  <c r="A592" i="5"/>
  <c r="E591" i="5"/>
  <c r="A591" i="5"/>
  <c r="E590" i="5"/>
  <c r="A590" i="5"/>
  <c r="E589" i="5"/>
  <c r="A589" i="5"/>
  <c r="E588" i="5"/>
  <c r="A588" i="5"/>
  <c r="E587" i="5"/>
  <c r="A587" i="5"/>
  <c r="E586" i="5"/>
  <c r="A586" i="5"/>
  <c r="E585" i="5"/>
  <c r="A585" i="5"/>
  <c r="E584" i="5"/>
  <c r="A584" i="5"/>
  <c r="E583" i="5"/>
  <c r="A583" i="5"/>
  <c r="E582" i="5"/>
  <c r="A582" i="5"/>
  <c r="E581" i="5"/>
  <c r="A581" i="5"/>
  <c r="E580" i="5"/>
  <c r="A580" i="5"/>
  <c r="E579" i="5"/>
  <c r="A579" i="5"/>
  <c r="E578" i="5"/>
  <c r="A578" i="5"/>
  <c r="E577" i="5"/>
  <c r="A577" i="5"/>
  <c r="E576" i="5"/>
  <c r="A576" i="5"/>
  <c r="E575" i="5"/>
  <c r="A575" i="5"/>
  <c r="E574" i="5"/>
  <c r="A574" i="5"/>
  <c r="E573" i="5"/>
  <c r="A573" i="5"/>
  <c r="E572" i="5"/>
  <c r="A572" i="5"/>
  <c r="E571" i="5"/>
  <c r="A571" i="5"/>
  <c r="E570" i="5"/>
  <c r="A570" i="5"/>
  <c r="E569" i="5"/>
  <c r="A569" i="5"/>
  <c r="E568" i="5"/>
  <c r="A568" i="5"/>
  <c r="E567" i="5"/>
  <c r="A567" i="5"/>
  <c r="E566" i="5"/>
  <c r="A566" i="5"/>
  <c r="E565" i="5"/>
  <c r="A565" i="5"/>
  <c r="E564" i="5"/>
  <c r="A564" i="5"/>
  <c r="E563" i="5"/>
  <c r="A563" i="5"/>
  <c r="E562" i="5"/>
  <c r="A562" i="5"/>
  <c r="E561" i="5"/>
  <c r="A561" i="5"/>
  <c r="E560" i="5"/>
  <c r="A560" i="5"/>
  <c r="E559" i="5"/>
  <c r="A559" i="5"/>
  <c r="E558" i="5"/>
  <c r="A558" i="5"/>
  <c r="E557" i="5"/>
  <c r="A557" i="5"/>
  <c r="E556" i="5"/>
  <c r="A556" i="5"/>
  <c r="E555" i="5"/>
  <c r="A555" i="5"/>
  <c r="E554" i="5"/>
  <c r="A554" i="5"/>
  <c r="E553" i="5"/>
  <c r="A553" i="5"/>
  <c r="E552" i="5"/>
  <c r="A552" i="5"/>
  <c r="E551" i="5"/>
  <c r="A551" i="5"/>
  <c r="E550" i="5"/>
  <c r="A550" i="5"/>
  <c r="E549" i="5"/>
  <c r="A549" i="5"/>
  <c r="E548" i="5"/>
  <c r="A548" i="5"/>
  <c r="E547" i="5"/>
  <c r="A547" i="5"/>
  <c r="E546" i="5"/>
  <c r="A546" i="5"/>
  <c r="E545" i="5"/>
  <c r="A545" i="5"/>
  <c r="E544" i="5"/>
  <c r="A544" i="5"/>
  <c r="E543" i="5"/>
  <c r="A543" i="5"/>
  <c r="E542" i="5"/>
  <c r="A542" i="5"/>
  <c r="E541" i="5"/>
  <c r="A541" i="5"/>
  <c r="E540" i="5"/>
  <c r="A540" i="5"/>
  <c r="E539" i="5"/>
  <c r="A539" i="5"/>
  <c r="E538" i="5"/>
  <c r="A538" i="5"/>
  <c r="E537" i="5"/>
  <c r="A537" i="5"/>
  <c r="E536" i="5"/>
  <c r="A536" i="5"/>
  <c r="E535" i="5"/>
  <c r="A535" i="5"/>
  <c r="E534" i="5"/>
  <c r="A534" i="5"/>
  <c r="E533" i="5"/>
  <c r="A533" i="5"/>
  <c r="E532" i="5"/>
  <c r="A532" i="5"/>
  <c r="E531" i="5"/>
  <c r="A531" i="5"/>
  <c r="E530" i="5"/>
  <c r="A530" i="5"/>
  <c r="E529" i="5"/>
  <c r="A529" i="5"/>
  <c r="E528" i="5"/>
  <c r="A528" i="5"/>
  <c r="E527" i="5"/>
  <c r="A527" i="5"/>
  <c r="E526" i="5"/>
  <c r="A526" i="5"/>
  <c r="E525" i="5"/>
  <c r="A525" i="5"/>
  <c r="E524" i="5"/>
  <c r="A524" i="5"/>
  <c r="E523" i="5"/>
  <c r="A523" i="5"/>
  <c r="E522" i="5"/>
  <c r="A522" i="5"/>
  <c r="E521" i="5"/>
  <c r="A521" i="5"/>
  <c r="E520" i="5"/>
  <c r="A520" i="5"/>
  <c r="E519" i="5"/>
  <c r="A519" i="5"/>
  <c r="E518" i="5"/>
  <c r="A518" i="5"/>
  <c r="E517" i="5"/>
  <c r="A517" i="5"/>
  <c r="E516" i="5"/>
  <c r="A516" i="5"/>
  <c r="E515" i="5"/>
  <c r="A515" i="5"/>
  <c r="E514" i="5"/>
  <c r="A514" i="5"/>
  <c r="E513" i="5"/>
  <c r="A513" i="5"/>
  <c r="E512" i="5"/>
  <c r="A512" i="5"/>
  <c r="E511" i="5"/>
  <c r="A511" i="5"/>
  <c r="E510" i="5"/>
  <c r="A510" i="5"/>
  <c r="E509" i="5"/>
  <c r="A509" i="5"/>
  <c r="E508" i="5"/>
  <c r="A508" i="5"/>
  <c r="E507" i="5"/>
  <c r="A507" i="5"/>
  <c r="E506" i="5"/>
  <c r="A506" i="5"/>
  <c r="E505" i="5"/>
  <c r="A505" i="5"/>
  <c r="E504" i="5"/>
  <c r="A504" i="5"/>
  <c r="E503" i="5"/>
  <c r="A503" i="5"/>
  <c r="E502" i="5"/>
  <c r="A502" i="5"/>
  <c r="E501" i="5"/>
  <c r="A501" i="5"/>
  <c r="E500" i="5"/>
  <c r="A500" i="5"/>
  <c r="E499" i="5"/>
  <c r="A499" i="5"/>
  <c r="E498" i="5"/>
  <c r="A498" i="5"/>
  <c r="E497" i="5"/>
  <c r="A497" i="5"/>
  <c r="E496" i="5"/>
  <c r="A496" i="5"/>
  <c r="E495" i="5"/>
  <c r="A495" i="5"/>
  <c r="E494" i="5"/>
  <c r="A494" i="5"/>
  <c r="E493" i="5"/>
  <c r="A493" i="5"/>
  <c r="E492" i="5"/>
  <c r="A492" i="5"/>
  <c r="E491" i="5"/>
  <c r="A491" i="5"/>
  <c r="E490" i="5"/>
  <c r="A490" i="5"/>
  <c r="E489" i="5"/>
  <c r="A489" i="5"/>
  <c r="E488" i="5"/>
  <c r="A488" i="5"/>
  <c r="E487" i="5"/>
  <c r="A487" i="5"/>
  <c r="E486" i="5"/>
  <c r="A486" i="5"/>
  <c r="E485" i="5"/>
  <c r="A485" i="5"/>
  <c r="E484" i="5"/>
  <c r="A484" i="5"/>
  <c r="E483" i="5"/>
  <c r="A483" i="5"/>
  <c r="E482" i="5"/>
  <c r="A482" i="5"/>
  <c r="E481" i="5"/>
  <c r="A481" i="5"/>
  <c r="E480" i="5"/>
  <c r="A480" i="5"/>
  <c r="E479" i="5"/>
  <c r="A479" i="5"/>
  <c r="E478" i="5"/>
  <c r="A478" i="5"/>
  <c r="E477" i="5"/>
  <c r="A477" i="5"/>
  <c r="E476" i="5"/>
  <c r="A476" i="5"/>
  <c r="E475" i="5"/>
  <c r="A475" i="5"/>
  <c r="E474" i="5"/>
  <c r="A474" i="5"/>
  <c r="E473" i="5"/>
  <c r="A473" i="5"/>
  <c r="E472" i="5"/>
  <c r="A472" i="5"/>
  <c r="E471" i="5"/>
  <c r="A471" i="5"/>
  <c r="E470" i="5"/>
  <c r="A470" i="5"/>
  <c r="E469" i="5"/>
  <c r="A469" i="5"/>
  <c r="E468" i="5"/>
  <c r="A468" i="5"/>
  <c r="E467" i="5"/>
  <c r="A467" i="5"/>
  <c r="E466" i="5"/>
  <c r="A466" i="5"/>
  <c r="E465" i="5"/>
  <c r="A465" i="5"/>
  <c r="E464" i="5"/>
  <c r="A464" i="5"/>
  <c r="E463" i="5"/>
  <c r="A463" i="5"/>
  <c r="E462" i="5"/>
  <c r="A462" i="5"/>
  <c r="E461" i="5"/>
  <c r="A461" i="5"/>
  <c r="E832" i="5"/>
  <c r="A832" i="5"/>
  <c r="E831" i="5"/>
  <c r="A831" i="5"/>
  <c r="E830" i="5"/>
  <c r="A830" i="5"/>
  <c r="E829" i="5"/>
  <c r="A829" i="5"/>
  <c r="E828" i="5"/>
  <c r="A828" i="5"/>
  <c r="E58" i="5"/>
  <c r="A58" i="5"/>
  <c r="E57" i="5"/>
  <c r="A57" i="5"/>
  <c r="E216" i="5"/>
  <c r="A216" i="5"/>
  <c r="E215" i="5"/>
  <c r="A215" i="5"/>
  <c r="E214" i="5"/>
  <c r="A214" i="5"/>
  <c r="E213" i="5"/>
  <c r="A213" i="5"/>
  <c r="E212" i="5"/>
  <c r="A212" i="5"/>
  <c r="E211" i="5"/>
  <c r="A211" i="5"/>
  <c r="E210" i="5"/>
  <c r="A210" i="5"/>
  <c r="E209" i="5"/>
  <c r="A209" i="5"/>
  <c r="E208" i="5"/>
  <c r="A208" i="5"/>
  <c r="E207" i="5"/>
  <c r="A207" i="5"/>
  <c r="E206" i="5"/>
  <c r="A206" i="5"/>
  <c r="E205" i="5"/>
  <c r="A205" i="5"/>
  <c r="E130" i="5"/>
  <c r="A130" i="5"/>
  <c r="E129" i="5"/>
  <c r="A129" i="5"/>
  <c r="E128" i="5"/>
  <c r="A128" i="5"/>
  <c r="E127" i="5"/>
  <c r="A127" i="5"/>
  <c r="E126" i="5"/>
  <c r="A126" i="5"/>
  <c r="E125" i="5"/>
  <c r="A125" i="5"/>
  <c r="E124" i="5"/>
  <c r="A124" i="5"/>
  <c r="E123" i="5"/>
  <c r="A123" i="5"/>
  <c r="E122" i="5"/>
  <c r="A122" i="5"/>
  <c r="E121" i="5"/>
  <c r="A121" i="5"/>
  <c r="E120" i="5"/>
  <c r="A120" i="5"/>
  <c r="E119" i="5"/>
  <c r="A119" i="5"/>
  <c r="E118" i="5"/>
  <c r="A118" i="5"/>
  <c r="E117" i="5"/>
  <c r="A117" i="5"/>
  <c r="E116" i="5"/>
  <c r="A116" i="5"/>
  <c r="E115" i="5"/>
  <c r="A115" i="5"/>
  <c r="E114" i="5"/>
  <c r="A114" i="5"/>
  <c r="E113" i="5"/>
  <c r="A113" i="5"/>
  <c r="E112" i="5"/>
  <c r="A112" i="5"/>
  <c r="E111" i="5"/>
  <c r="A111" i="5"/>
  <c r="E110" i="5"/>
  <c r="A110" i="5"/>
  <c r="E109" i="5"/>
  <c r="A109" i="5"/>
  <c r="E108" i="5"/>
  <c r="A108" i="5"/>
  <c r="E107" i="5"/>
  <c r="A107" i="5"/>
  <c r="E106" i="5"/>
  <c r="A106" i="5"/>
  <c r="E105" i="5"/>
  <c r="A105" i="5"/>
  <c r="E104" i="5"/>
  <c r="A104" i="5"/>
  <c r="E103" i="5"/>
  <c r="A103" i="5"/>
  <c r="E102" i="5"/>
  <c r="A102" i="5"/>
  <c r="E101" i="5"/>
  <c r="A101" i="5"/>
  <c r="E100" i="5"/>
  <c r="A100" i="5"/>
  <c r="E99" i="5"/>
  <c r="A99" i="5"/>
  <c r="E98" i="5"/>
  <c r="A98" i="5"/>
  <c r="E97" i="5"/>
  <c r="A97" i="5"/>
  <c r="E96" i="5"/>
  <c r="A96" i="5"/>
  <c r="E95" i="5"/>
  <c r="A95" i="5"/>
  <c r="E827" i="5"/>
  <c r="A827" i="5"/>
  <c r="E246" i="5"/>
  <c r="A246" i="5"/>
  <c r="E245" i="5"/>
  <c r="A245" i="5"/>
  <c r="E244" i="5"/>
  <c r="A244" i="5"/>
  <c r="E243" i="5"/>
  <c r="A243" i="5"/>
  <c r="E242" i="5"/>
  <c r="A242" i="5"/>
  <c r="E241" i="5"/>
  <c r="A241" i="5"/>
  <c r="E240" i="5"/>
  <c r="A240" i="5"/>
  <c r="E239" i="5"/>
  <c r="A239" i="5"/>
  <c r="E238" i="5"/>
  <c r="A238" i="5"/>
  <c r="E56" i="5"/>
  <c r="A56" i="5"/>
  <c r="E55" i="5"/>
  <c r="A55" i="5"/>
  <c r="E54" i="5"/>
  <c r="A54" i="5"/>
  <c r="E53" i="5"/>
  <c r="A53" i="5"/>
  <c r="E52" i="5"/>
  <c r="A52" i="5"/>
  <c r="E51" i="5"/>
  <c r="A51" i="5"/>
  <c r="E50" i="5"/>
  <c r="A50" i="5"/>
  <c r="E49" i="5"/>
  <c r="A49" i="5"/>
  <c r="E48" i="5"/>
  <c r="A48" i="5"/>
  <c r="E47" i="5"/>
  <c r="A47" i="5"/>
  <c r="E46" i="5"/>
  <c r="A46" i="5"/>
  <c r="E45" i="5"/>
  <c r="A45" i="5"/>
  <c r="E44" i="5"/>
  <c r="A44" i="5"/>
  <c r="E43" i="5"/>
  <c r="A43" i="5"/>
  <c r="E42" i="5"/>
  <c r="A42" i="5"/>
  <c r="E41" i="5"/>
  <c r="A41" i="5"/>
  <c r="E40" i="5"/>
  <c r="A40" i="5"/>
  <c r="E39" i="5"/>
  <c r="A39" i="5"/>
  <c r="E38" i="5"/>
  <c r="A38" i="5"/>
  <c r="E37" i="5"/>
  <c r="A37" i="5"/>
  <c r="E36" i="5"/>
  <c r="A36" i="5"/>
  <c r="E35" i="5"/>
  <c r="A35" i="5"/>
  <c r="E34" i="5"/>
  <c r="A34" i="5"/>
  <c r="E33" i="5"/>
  <c r="A33" i="5"/>
  <c r="E32" i="5"/>
  <c r="A32" i="5"/>
  <c r="E31" i="5"/>
  <c r="A31" i="5"/>
  <c r="E30" i="5"/>
  <c r="A30" i="5"/>
  <c r="E29" i="5"/>
  <c r="A29" i="5"/>
  <c r="E28" i="5"/>
  <c r="A28" i="5"/>
  <c r="E27" i="5"/>
  <c r="A27" i="5"/>
  <c r="E204" i="5"/>
  <c r="A204" i="5"/>
  <c r="E26" i="5"/>
  <c r="A26" i="5"/>
  <c r="E25" i="5"/>
  <c r="A25" i="5"/>
  <c r="E24" i="5"/>
  <c r="A24" i="5"/>
  <c r="E23" i="5"/>
  <c r="A23" i="5"/>
  <c r="E22" i="5"/>
  <c r="A22" i="5"/>
  <c r="E21" i="5"/>
  <c r="A21" i="5"/>
  <c r="E20" i="5"/>
  <c r="A20" i="5"/>
  <c r="E19" i="5"/>
  <c r="A19" i="5"/>
  <c r="E18" i="5"/>
  <c r="A18" i="5"/>
  <c r="E17" i="5"/>
  <c r="A17" i="5"/>
  <c r="E16" i="5"/>
  <c r="A16" i="5"/>
  <c r="E15" i="5"/>
  <c r="A15" i="5"/>
  <c r="E14" i="5"/>
  <c r="A14" i="5"/>
  <c r="E13" i="5"/>
  <c r="A13" i="5"/>
  <c r="E12" i="5"/>
  <c r="A12" i="5"/>
  <c r="E11" i="5"/>
  <c r="A11" i="5"/>
  <c r="E94" i="5"/>
  <c r="A94" i="5"/>
  <c r="E93" i="5"/>
  <c r="A93" i="5"/>
  <c r="E460" i="5"/>
  <c r="A460" i="5"/>
  <c r="E459" i="5"/>
  <c r="A459" i="5"/>
  <c r="E458" i="5"/>
  <c r="A458" i="5"/>
  <c r="E457" i="5"/>
  <c r="A457" i="5"/>
  <c r="E456" i="5"/>
  <c r="A456" i="5"/>
  <c r="E455" i="5"/>
  <c r="A455" i="5"/>
  <c r="E454" i="5"/>
  <c r="A454" i="5"/>
  <c r="E453" i="5"/>
  <c r="A453" i="5"/>
  <c r="E452" i="5"/>
  <c r="A452" i="5"/>
  <c r="E451" i="5"/>
  <c r="A451" i="5"/>
  <c r="E450" i="5"/>
  <c r="A450" i="5"/>
  <c r="E449" i="5"/>
  <c r="A449" i="5"/>
  <c r="E448" i="5"/>
  <c r="A448" i="5"/>
  <c r="E447" i="5"/>
  <c r="A447" i="5"/>
  <c r="E446" i="5"/>
  <c r="A446" i="5"/>
  <c r="E445" i="5"/>
  <c r="A445" i="5"/>
  <c r="E444" i="5"/>
  <c r="A444" i="5"/>
  <c r="E443" i="5"/>
  <c r="A443" i="5"/>
  <c r="E442" i="5"/>
  <c r="A442" i="5"/>
  <c r="E441" i="5"/>
  <c r="A441" i="5"/>
  <c r="E440" i="5"/>
  <c r="A440" i="5"/>
  <c r="E439" i="5"/>
  <c r="A439" i="5"/>
  <c r="E438" i="5"/>
  <c r="A438" i="5"/>
  <c r="E437" i="5"/>
  <c r="A437" i="5"/>
  <c r="E436" i="5"/>
  <c r="A436" i="5"/>
  <c r="E435" i="5"/>
  <c r="A435" i="5"/>
  <c r="E434" i="5"/>
  <c r="A434" i="5"/>
  <c r="E433" i="5"/>
  <c r="A433" i="5"/>
  <c r="E432" i="5"/>
  <c r="A432" i="5"/>
  <c r="E431" i="5"/>
  <c r="A431" i="5"/>
  <c r="E430" i="5"/>
  <c r="A430" i="5"/>
  <c r="E429" i="5"/>
  <c r="A429" i="5"/>
  <c r="E428" i="5"/>
  <c r="A428" i="5"/>
  <c r="E427" i="5"/>
  <c r="A427" i="5"/>
  <c r="E426" i="5"/>
  <c r="A426" i="5"/>
  <c r="E425" i="5"/>
  <c r="A425" i="5"/>
  <c r="E424" i="5"/>
  <c r="A424" i="5"/>
  <c r="E423" i="5"/>
  <c r="A423" i="5"/>
  <c r="E422" i="5"/>
  <c r="A422" i="5"/>
  <c r="E421" i="5"/>
  <c r="A421" i="5"/>
  <c r="E420" i="5"/>
  <c r="A420" i="5"/>
  <c r="E419" i="5"/>
  <c r="A419" i="5"/>
  <c r="E418" i="5"/>
  <c r="A418" i="5"/>
  <c r="E417" i="5"/>
  <c r="A417" i="5"/>
  <c r="E416" i="5"/>
  <c r="A416" i="5"/>
  <c r="E415" i="5"/>
  <c r="A415" i="5"/>
  <c r="E414" i="5"/>
  <c r="A414" i="5"/>
  <c r="E413" i="5"/>
  <c r="A413" i="5"/>
  <c r="E412" i="5"/>
  <c r="A412" i="5"/>
  <c r="E411" i="5"/>
  <c r="A411" i="5"/>
  <c r="E410" i="5"/>
  <c r="A410" i="5"/>
  <c r="E409" i="5"/>
  <c r="A409" i="5"/>
  <c r="E408" i="5"/>
  <c r="A408" i="5"/>
  <c r="E407" i="5"/>
  <c r="A407" i="5"/>
  <c r="E406" i="5"/>
  <c r="A406" i="5"/>
  <c r="E405" i="5"/>
  <c r="A405" i="5"/>
  <c r="E404" i="5"/>
  <c r="A404" i="5"/>
  <c r="E403" i="5"/>
  <c r="A403" i="5"/>
  <c r="E402" i="5"/>
  <c r="A402" i="5"/>
  <c r="E401" i="5"/>
  <c r="A401" i="5"/>
  <c r="E400" i="5"/>
  <c r="A400" i="5"/>
  <c r="E399" i="5"/>
  <c r="A399" i="5"/>
  <c r="E398" i="5"/>
  <c r="A398" i="5"/>
  <c r="E397" i="5"/>
  <c r="A397" i="5"/>
  <c r="E396" i="5"/>
  <c r="A396" i="5"/>
  <c r="E395" i="5"/>
  <c r="A395" i="5"/>
  <c r="E394" i="5"/>
  <c r="A394" i="5"/>
  <c r="E393" i="5"/>
  <c r="A393" i="5"/>
  <c r="E392" i="5"/>
  <c r="A392" i="5"/>
  <c r="E391" i="5"/>
  <c r="A391" i="5"/>
  <c r="E390" i="5"/>
  <c r="A390" i="5"/>
  <c r="E389" i="5"/>
  <c r="A389" i="5"/>
  <c r="E388" i="5"/>
  <c r="A388" i="5"/>
  <c r="E387" i="5"/>
  <c r="A387" i="5"/>
  <c r="E386" i="5"/>
  <c r="A386" i="5"/>
  <c r="E385" i="5"/>
  <c r="A385" i="5"/>
  <c r="E384" i="5"/>
  <c r="A384" i="5"/>
  <c r="E383" i="5"/>
  <c r="A383" i="5"/>
  <c r="E382" i="5"/>
  <c r="A382" i="5"/>
  <c r="E381" i="5"/>
  <c r="A381" i="5"/>
  <c r="E380" i="5"/>
  <c r="A380" i="5"/>
  <c r="E379" i="5"/>
  <c r="A379" i="5"/>
  <c r="E378" i="5"/>
  <c r="A378" i="5"/>
  <c r="E377" i="5"/>
  <c r="A377" i="5"/>
  <c r="E376" i="5"/>
  <c r="A376" i="5"/>
  <c r="E375" i="5"/>
  <c r="A375" i="5"/>
  <c r="E374" i="5"/>
  <c r="A374" i="5"/>
  <c r="E373" i="5"/>
  <c r="A373" i="5"/>
  <c r="E372" i="5"/>
  <c r="A372" i="5"/>
  <c r="E371" i="5"/>
  <c r="A371" i="5"/>
  <c r="E370" i="5"/>
  <c r="A370" i="5"/>
  <c r="E369" i="5"/>
  <c r="A369" i="5"/>
  <c r="E368" i="5"/>
  <c r="A368" i="5"/>
  <c r="E367" i="5"/>
  <c r="A367" i="5"/>
  <c r="E366" i="5"/>
  <c r="A366" i="5"/>
  <c r="E365" i="5"/>
  <c r="A365" i="5"/>
  <c r="E364" i="5"/>
  <c r="A364" i="5"/>
  <c r="E363" i="5"/>
  <c r="A363" i="5"/>
  <c r="E362" i="5"/>
  <c r="A362" i="5"/>
  <c r="E361" i="5"/>
  <c r="A361" i="5"/>
  <c r="E360" i="5"/>
  <c r="A360" i="5"/>
  <c r="E359" i="5"/>
  <c r="A359" i="5"/>
  <c r="E358" i="5"/>
  <c r="A358" i="5"/>
  <c r="E357" i="5"/>
  <c r="A357" i="5"/>
  <c r="E356" i="5"/>
  <c r="A356" i="5"/>
  <c r="E355" i="5"/>
  <c r="A355" i="5"/>
  <c r="E354" i="5"/>
  <c r="A354" i="5"/>
  <c r="E353" i="5"/>
  <c r="A353" i="5"/>
  <c r="E352" i="5"/>
  <c r="A352" i="5"/>
  <c r="E351" i="5"/>
  <c r="A351" i="5"/>
  <c r="E350" i="5"/>
  <c r="A350" i="5"/>
  <c r="E349" i="5"/>
  <c r="A349" i="5"/>
  <c r="E348" i="5"/>
  <c r="A348" i="5"/>
  <c r="E347" i="5"/>
  <c r="A347" i="5"/>
  <c r="E346" i="5"/>
  <c r="A346" i="5"/>
  <c r="E345" i="5"/>
  <c r="A345" i="5"/>
  <c r="E344" i="5"/>
  <c r="A344" i="5"/>
  <c r="E343" i="5"/>
  <c r="A343" i="5"/>
  <c r="E342" i="5"/>
  <c r="A342" i="5"/>
  <c r="E341" i="5"/>
  <c r="A341" i="5"/>
  <c r="E340" i="5"/>
  <c r="A340" i="5"/>
  <c r="E339" i="5"/>
  <c r="A339" i="5"/>
  <c r="E338" i="5"/>
  <c r="A338" i="5"/>
  <c r="E337" i="5"/>
  <c r="A337" i="5"/>
  <c r="E336" i="5"/>
  <c r="A336" i="5"/>
  <c r="E335" i="5"/>
  <c r="A335" i="5"/>
  <c r="E334" i="5"/>
  <c r="A334" i="5"/>
  <c r="E333" i="5"/>
  <c r="A333" i="5"/>
  <c r="E332" i="5"/>
  <c r="A332" i="5"/>
  <c r="E331" i="5"/>
  <c r="A331" i="5"/>
  <c r="E330" i="5"/>
  <c r="A330" i="5"/>
  <c r="E329" i="5"/>
  <c r="A329" i="5"/>
  <c r="E328" i="5"/>
  <c r="A328" i="5"/>
  <c r="E327" i="5"/>
  <c r="A327" i="5"/>
  <c r="E326" i="5"/>
  <c r="A326" i="5"/>
  <c r="E325" i="5"/>
  <c r="A325" i="5"/>
  <c r="E324" i="5"/>
  <c r="A324" i="5"/>
  <c r="E323" i="5"/>
  <c r="A323" i="5"/>
  <c r="E322" i="5"/>
  <c r="A322" i="5"/>
  <c r="E321" i="5"/>
  <c r="A321" i="5"/>
  <c r="E320" i="5"/>
  <c r="A320" i="5"/>
  <c r="E319" i="5"/>
  <c r="A319" i="5"/>
  <c r="E318" i="5"/>
  <c r="A318" i="5"/>
  <c r="E317" i="5"/>
  <c r="A317" i="5"/>
  <c r="E316" i="5"/>
  <c r="A316" i="5"/>
  <c r="E315" i="5"/>
  <c r="A315" i="5"/>
  <c r="E314" i="5"/>
  <c r="A314" i="5"/>
  <c r="E313" i="5"/>
  <c r="A313" i="5"/>
  <c r="E312" i="5"/>
  <c r="A312" i="5"/>
  <c r="E311" i="5"/>
  <c r="A311" i="5"/>
  <c r="E310" i="5"/>
  <c r="A310" i="5"/>
  <c r="E309" i="5"/>
  <c r="A309" i="5"/>
  <c r="E308" i="5"/>
  <c r="A308" i="5"/>
  <c r="E307" i="5"/>
  <c r="A307" i="5"/>
  <c r="E306" i="5"/>
  <c r="A306" i="5"/>
  <c r="E305" i="5"/>
  <c r="A305" i="5"/>
  <c r="E304" i="5"/>
  <c r="A304" i="5"/>
  <c r="E303" i="5"/>
  <c r="A303" i="5"/>
  <c r="E302" i="5"/>
  <c r="A302" i="5"/>
  <c r="E10" i="5"/>
  <c r="A10" i="5"/>
  <c r="E9" i="5"/>
  <c r="A9" i="5"/>
  <c r="E8" i="5"/>
  <c r="A8" i="5"/>
  <c r="E7" i="5"/>
  <c r="A7" i="5"/>
  <c r="E6" i="5"/>
  <c r="A6" i="5"/>
  <c r="E5" i="5"/>
  <c r="A5" i="5"/>
  <c r="E4" i="5"/>
  <c r="A4" i="5"/>
  <c r="E3" i="5"/>
  <c r="A3" i="5"/>
  <c r="E434" i="2"/>
  <c r="A434" i="2"/>
  <c r="E433" i="2"/>
  <c r="A433" i="2"/>
  <c r="E432" i="2"/>
  <c r="A432" i="2"/>
  <c r="E431" i="2"/>
  <c r="A431" i="2"/>
  <c r="E430" i="2"/>
  <c r="A430" i="2"/>
  <c r="E440" i="2"/>
  <c r="A440" i="2"/>
  <c r="E429" i="2"/>
  <c r="A429" i="2"/>
  <c r="E428" i="2"/>
  <c r="A428" i="2"/>
  <c r="E427" i="2"/>
  <c r="A427" i="2"/>
  <c r="E426" i="2"/>
  <c r="A426" i="2"/>
  <c r="E425" i="2"/>
  <c r="A425" i="2"/>
  <c r="E424" i="2"/>
  <c r="A424" i="2"/>
  <c r="E423" i="2"/>
  <c r="A423" i="2"/>
  <c r="E422" i="2"/>
  <c r="A422" i="2"/>
  <c r="E421" i="2"/>
  <c r="A421" i="2"/>
  <c r="E420" i="2"/>
  <c r="A420" i="2"/>
  <c r="E419" i="2"/>
  <c r="A419" i="2"/>
  <c r="E418" i="2"/>
  <c r="A418" i="2"/>
  <c r="E417" i="2"/>
  <c r="A417" i="2"/>
  <c r="E416" i="2"/>
  <c r="A416" i="2"/>
  <c r="E415" i="2"/>
  <c r="A415" i="2"/>
  <c r="E414" i="2"/>
  <c r="A414" i="2"/>
  <c r="E413" i="2"/>
  <c r="A413" i="2"/>
  <c r="E412" i="2"/>
  <c r="A412" i="2"/>
  <c r="E411" i="2"/>
  <c r="A411" i="2"/>
  <c r="E410" i="2"/>
  <c r="A410" i="2"/>
  <c r="E409" i="2"/>
  <c r="A409" i="2"/>
  <c r="E408" i="2"/>
  <c r="A408" i="2"/>
  <c r="E407" i="2"/>
  <c r="A407" i="2"/>
  <c r="E406" i="2"/>
  <c r="A406" i="2"/>
  <c r="E405" i="2"/>
  <c r="A405" i="2"/>
  <c r="E404" i="2"/>
  <c r="A404" i="2"/>
  <c r="E403" i="2"/>
  <c r="A403" i="2"/>
  <c r="E402" i="2"/>
  <c r="A402" i="2"/>
  <c r="E401" i="2"/>
  <c r="A401" i="2"/>
  <c r="E400" i="2"/>
  <c r="A400" i="2"/>
  <c r="E439" i="2"/>
  <c r="A439" i="2"/>
  <c r="E399" i="2"/>
  <c r="A399" i="2"/>
  <c r="E398" i="2"/>
  <c r="A398" i="2"/>
  <c r="E397" i="2"/>
  <c r="A397" i="2"/>
  <c r="E396" i="2"/>
  <c r="A396" i="2"/>
  <c r="E395" i="2"/>
  <c r="A395" i="2"/>
  <c r="E394" i="2"/>
  <c r="A394" i="2"/>
  <c r="E393" i="2"/>
  <c r="A393" i="2"/>
  <c r="E392" i="2"/>
  <c r="A392" i="2"/>
  <c r="E391" i="2"/>
  <c r="A391" i="2"/>
  <c r="E390" i="2"/>
  <c r="A390" i="2"/>
  <c r="E389" i="2"/>
  <c r="A389" i="2"/>
  <c r="E388" i="2"/>
  <c r="A388" i="2"/>
  <c r="E387" i="2"/>
  <c r="A387" i="2"/>
  <c r="E386" i="2"/>
  <c r="A386" i="2"/>
  <c r="E385" i="2"/>
  <c r="A385" i="2"/>
  <c r="E384" i="2"/>
  <c r="A384" i="2"/>
  <c r="E383" i="2"/>
  <c r="A383" i="2"/>
  <c r="E382" i="2"/>
  <c r="A382" i="2"/>
  <c r="E381" i="2"/>
  <c r="A381" i="2"/>
  <c r="E380" i="2"/>
  <c r="A380" i="2"/>
  <c r="E379" i="2"/>
  <c r="A379" i="2"/>
  <c r="E378" i="2"/>
  <c r="A378" i="2"/>
  <c r="E376" i="2"/>
  <c r="A376" i="2"/>
  <c r="E375" i="2"/>
  <c r="A375" i="2"/>
  <c r="E374" i="2"/>
  <c r="A374" i="2"/>
  <c r="E373" i="2"/>
  <c r="A373" i="2"/>
  <c r="E372" i="2"/>
  <c r="A372" i="2"/>
  <c r="E371" i="2"/>
  <c r="A371" i="2"/>
  <c r="E370" i="2"/>
  <c r="A370" i="2"/>
  <c r="E369" i="2"/>
  <c r="A369" i="2"/>
  <c r="E368" i="2"/>
  <c r="A368" i="2"/>
  <c r="E367" i="2"/>
  <c r="A367" i="2"/>
  <c r="E366" i="2"/>
  <c r="A366" i="2"/>
  <c r="E365" i="2"/>
  <c r="A365" i="2"/>
  <c r="E364" i="2"/>
  <c r="A364" i="2"/>
  <c r="E363" i="2"/>
  <c r="A363" i="2"/>
  <c r="E362" i="2"/>
  <c r="A362" i="2"/>
  <c r="E361" i="2"/>
  <c r="A361" i="2"/>
  <c r="E360" i="2"/>
  <c r="A360" i="2"/>
  <c r="E359" i="2"/>
  <c r="A359" i="2"/>
  <c r="E358" i="2"/>
  <c r="A358" i="2"/>
  <c r="E357" i="2"/>
  <c r="A357" i="2"/>
  <c r="E356" i="2"/>
  <c r="A356" i="2"/>
  <c r="E355" i="2"/>
  <c r="A355" i="2"/>
  <c r="E354" i="2"/>
  <c r="A354" i="2"/>
  <c r="E353" i="2"/>
  <c r="A353" i="2"/>
  <c r="E352" i="2"/>
  <c r="A352" i="2"/>
  <c r="E351" i="2"/>
  <c r="A351" i="2"/>
  <c r="E350" i="2"/>
  <c r="A350" i="2"/>
  <c r="E349" i="2"/>
  <c r="A349" i="2"/>
  <c r="E348" i="2"/>
  <c r="A348" i="2"/>
  <c r="E347" i="2"/>
  <c r="A347" i="2"/>
  <c r="E346" i="2"/>
  <c r="A346" i="2"/>
  <c r="E345" i="2"/>
  <c r="A345" i="2"/>
  <c r="E344" i="2"/>
  <c r="A344" i="2"/>
  <c r="E343" i="2"/>
  <c r="A343" i="2"/>
  <c r="E342" i="2"/>
  <c r="A342" i="2"/>
  <c r="E341" i="2"/>
  <c r="A341" i="2"/>
  <c r="E340" i="2"/>
  <c r="A340" i="2"/>
  <c r="E339" i="2"/>
  <c r="A339" i="2"/>
  <c r="E338" i="2"/>
  <c r="A338" i="2"/>
  <c r="E337" i="2"/>
  <c r="A337" i="2"/>
  <c r="E336" i="2"/>
  <c r="A336" i="2"/>
  <c r="E335" i="2"/>
  <c r="A335" i="2"/>
  <c r="E334" i="2"/>
  <c r="A334" i="2"/>
  <c r="E333" i="2"/>
  <c r="A333" i="2"/>
  <c r="E332" i="2"/>
  <c r="A332" i="2"/>
  <c r="E331" i="2"/>
  <c r="A331" i="2"/>
  <c r="E330" i="2"/>
  <c r="A330" i="2"/>
  <c r="E329" i="2"/>
  <c r="A329" i="2"/>
  <c r="E328" i="2"/>
  <c r="A328" i="2"/>
  <c r="E327" i="2"/>
  <c r="A327" i="2"/>
  <c r="E326" i="2"/>
  <c r="A326" i="2"/>
  <c r="E325" i="2"/>
  <c r="A325" i="2"/>
  <c r="E324" i="2"/>
  <c r="A324" i="2"/>
  <c r="E323" i="2"/>
  <c r="A323" i="2"/>
  <c r="E322" i="2"/>
  <c r="A322" i="2"/>
  <c r="E321" i="2"/>
  <c r="A321" i="2"/>
  <c r="E320" i="2"/>
  <c r="A320" i="2"/>
  <c r="E319" i="2"/>
  <c r="A319" i="2"/>
  <c r="E318" i="2"/>
  <c r="A318" i="2"/>
  <c r="E316" i="2"/>
  <c r="A316" i="2"/>
  <c r="E315" i="2"/>
  <c r="A315" i="2"/>
  <c r="E314" i="2"/>
  <c r="A314" i="2"/>
  <c r="E313" i="2"/>
  <c r="A313" i="2"/>
  <c r="E312" i="2"/>
  <c r="A312" i="2"/>
  <c r="E311" i="2"/>
  <c r="A311" i="2"/>
  <c r="E310" i="2"/>
  <c r="A310" i="2"/>
  <c r="E309" i="2"/>
  <c r="A309" i="2"/>
  <c r="E308" i="2"/>
  <c r="A308" i="2"/>
  <c r="E307" i="2"/>
  <c r="A307" i="2"/>
  <c r="E306" i="2"/>
  <c r="A306" i="2"/>
  <c r="E305" i="2"/>
  <c r="A305" i="2"/>
  <c r="E304" i="2"/>
  <c r="A304" i="2"/>
  <c r="E303" i="2"/>
  <c r="A303" i="2"/>
  <c r="E302" i="2"/>
  <c r="A302" i="2"/>
  <c r="E301" i="2"/>
  <c r="A301" i="2"/>
  <c r="E300" i="2"/>
  <c r="A300" i="2"/>
  <c r="E299" i="2"/>
  <c r="A299" i="2"/>
  <c r="E298" i="2"/>
  <c r="A298" i="2"/>
  <c r="E297" i="2"/>
  <c r="A297" i="2"/>
  <c r="E296" i="2"/>
  <c r="A296" i="2"/>
  <c r="E295" i="2"/>
  <c r="A295" i="2"/>
  <c r="E294" i="2"/>
  <c r="A294" i="2"/>
  <c r="E293" i="2"/>
  <c r="A293" i="2"/>
  <c r="E292" i="2"/>
  <c r="A292" i="2"/>
  <c r="E291" i="2"/>
  <c r="A291" i="2"/>
  <c r="E290" i="2"/>
  <c r="A290" i="2"/>
  <c r="E289" i="2"/>
  <c r="A289" i="2"/>
  <c r="E288" i="2"/>
  <c r="A288" i="2"/>
  <c r="E287" i="2"/>
  <c r="A287" i="2"/>
  <c r="E286" i="2"/>
  <c r="A286" i="2"/>
  <c r="E285" i="2"/>
  <c r="A285" i="2"/>
  <c r="E284" i="2"/>
  <c r="A284" i="2"/>
  <c r="E283" i="2"/>
  <c r="A283" i="2"/>
  <c r="E282" i="2"/>
  <c r="A282" i="2"/>
  <c r="E281" i="2"/>
  <c r="A281" i="2"/>
  <c r="E280" i="2"/>
  <c r="A280" i="2"/>
  <c r="E279" i="2"/>
  <c r="A279" i="2"/>
  <c r="E278" i="2"/>
  <c r="A278" i="2"/>
  <c r="E277" i="2"/>
  <c r="A277" i="2"/>
  <c r="E438" i="2"/>
  <c r="A438" i="2"/>
  <c r="E276" i="2"/>
  <c r="A276" i="2"/>
  <c r="E275" i="2"/>
  <c r="A275" i="2"/>
  <c r="E274" i="2"/>
  <c r="A274" i="2"/>
  <c r="E273" i="2"/>
  <c r="A273" i="2"/>
  <c r="E272" i="2"/>
  <c r="A272" i="2"/>
  <c r="E271" i="2"/>
  <c r="A271" i="2"/>
  <c r="E270" i="2"/>
  <c r="A270" i="2"/>
  <c r="E269" i="2"/>
  <c r="A269" i="2"/>
  <c r="E268" i="2"/>
  <c r="A268" i="2"/>
  <c r="E267" i="2"/>
  <c r="A267" i="2"/>
  <c r="E266" i="2"/>
  <c r="A266" i="2"/>
  <c r="E265" i="2"/>
  <c r="A265" i="2"/>
  <c r="E264" i="2"/>
  <c r="A264" i="2"/>
  <c r="E263" i="2"/>
  <c r="A263" i="2"/>
  <c r="E262" i="2"/>
  <c r="A262" i="2"/>
  <c r="E261" i="2"/>
  <c r="A261" i="2"/>
  <c r="E260" i="2"/>
  <c r="A260" i="2"/>
  <c r="E259" i="2"/>
  <c r="A259" i="2"/>
  <c r="E258" i="2"/>
  <c r="A258" i="2"/>
  <c r="E257" i="2"/>
  <c r="A257" i="2"/>
  <c r="E256" i="2"/>
  <c r="A256" i="2"/>
  <c r="E255" i="2"/>
  <c r="A255" i="2"/>
  <c r="E254" i="2"/>
  <c r="A254" i="2"/>
  <c r="E253" i="2"/>
  <c r="A253" i="2"/>
  <c r="E252" i="2"/>
  <c r="A252" i="2"/>
  <c r="E251" i="2"/>
  <c r="A251" i="2"/>
  <c r="E250" i="2"/>
  <c r="A250" i="2"/>
  <c r="E249" i="2"/>
  <c r="A249" i="2"/>
  <c r="E248" i="2"/>
  <c r="A248" i="2"/>
  <c r="E247" i="2"/>
  <c r="A247" i="2"/>
  <c r="E246" i="2"/>
  <c r="A246" i="2"/>
  <c r="E245" i="2"/>
  <c r="A245" i="2"/>
  <c r="E244" i="2"/>
  <c r="A244" i="2"/>
  <c r="E243" i="2"/>
  <c r="A243" i="2"/>
  <c r="E242" i="2"/>
  <c r="A242" i="2"/>
  <c r="E241" i="2"/>
  <c r="A241" i="2"/>
  <c r="E240" i="2"/>
  <c r="A240" i="2"/>
  <c r="E239" i="2"/>
  <c r="A239" i="2"/>
  <c r="E238" i="2"/>
  <c r="A238" i="2"/>
  <c r="E237" i="2"/>
  <c r="A237" i="2"/>
  <c r="E236" i="2"/>
  <c r="A236" i="2"/>
  <c r="E235" i="2"/>
  <c r="A235" i="2"/>
  <c r="E234" i="2"/>
  <c r="A234" i="2"/>
  <c r="E233" i="2"/>
  <c r="A233" i="2"/>
  <c r="E232" i="2"/>
  <c r="A232" i="2"/>
  <c r="E231" i="2"/>
  <c r="A231" i="2"/>
  <c r="E230" i="2"/>
  <c r="A230" i="2"/>
  <c r="E229" i="2"/>
  <c r="A229" i="2"/>
  <c r="E228" i="2"/>
  <c r="A228" i="2"/>
  <c r="E227" i="2"/>
  <c r="A227" i="2"/>
  <c r="E226" i="2"/>
  <c r="A226" i="2"/>
  <c r="E225" i="2"/>
  <c r="A225" i="2"/>
  <c r="E224" i="2"/>
  <c r="A224" i="2"/>
  <c r="E223" i="2"/>
  <c r="A223" i="2"/>
  <c r="E222" i="2"/>
  <c r="A222" i="2"/>
  <c r="E221" i="2"/>
  <c r="A221" i="2"/>
  <c r="E220" i="2"/>
  <c r="A220" i="2"/>
  <c r="E219" i="2"/>
  <c r="A219" i="2"/>
  <c r="E218" i="2"/>
  <c r="A218" i="2"/>
  <c r="E217" i="2"/>
  <c r="A217" i="2"/>
  <c r="E216" i="2"/>
  <c r="A216" i="2"/>
  <c r="E215" i="2"/>
  <c r="A215" i="2"/>
  <c r="E214" i="2"/>
  <c r="A214" i="2"/>
  <c r="E213" i="2"/>
  <c r="A213" i="2"/>
  <c r="E212" i="2"/>
  <c r="A212" i="2"/>
  <c r="E211" i="2"/>
  <c r="A211" i="2"/>
  <c r="E210" i="2"/>
  <c r="A210" i="2"/>
  <c r="E209" i="2"/>
  <c r="A209" i="2"/>
  <c r="E208" i="2"/>
  <c r="A208" i="2"/>
  <c r="E207" i="2"/>
  <c r="A207" i="2"/>
  <c r="E206" i="2"/>
  <c r="A206" i="2"/>
  <c r="E205" i="2"/>
  <c r="A205" i="2"/>
  <c r="E204" i="2"/>
  <c r="A204" i="2"/>
  <c r="E203" i="2"/>
  <c r="A203" i="2"/>
  <c r="E202" i="2"/>
  <c r="A202" i="2"/>
  <c r="E201" i="2"/>
  <c r="A201" i="2"/>
  <c r="E200" i="2"/>
  <c r="A200" i="2"/>
  <c r="E199" i="2"/>
  <c r="A199" i="2"/>
  <c r="E198" i="2"/>
  <c r="A198" i="2"/>
  <c r="E197" i="2"/>
  <c r="A197" i="2"/>
  <c r="E196" i="2"/>
  <c r="A196" i="2"/>
  <c r="E195" i="2"/>
  <c r="A195" i="2"/>
  <c r="E194" i="2"/>
  <c r="A194" i="2"/>
  <c r="E193" i="2"/>
  <c r="A193" i="2"/>
  <c r="E192" i="2"/>
  <c r="A192" i="2"/>
  <c r="E191" i="2"/>
  <c r="A191" i="2"/>
  <c r="E190" i="2"/>
  <c r="A190" i="2"/>
  <c r="E189" i="2"/>
  <c r="A189" i="2"/>
  <c r="E188" i="2"/>
  <c r="A188" i="2"/>
  <c r="E187" i="2"/>
  <c r="A187" i="2"/>
  <c r="E186" i="2"/>
  <c r="A186" i="2"/>
  <c r="E185" i="2"/>
  <c r="A185" i="2"/>
  <c r="E184" i="2"/>
  <c r="A184" i="2"/>
  <c r="E183" i="2"/>
  <c r="A183" i="2"/>
  <c r="E182" i="2"/>
  <c r="A182" i="2"/>
  <c r="E181" i="2"/>
  <c r="A181" i="2"/>
  <c r="E180" i="2"/>
  <c r="A180" i="2"/>
  <c r="E179" i="2"/>
  <c r="A179" i="2"/>
  <c r="E178" i="2"/>
  <c r="A178" i="2"/>
  <c r="E177" i="2"/>
  <c r="A177" i="2"/>
  <c r="E176" i="2"/>
  <c r="A176" i="2"/>
  <c r="E175" i="2"/>
  <c r="A175" i="2"/>
  <c r="E174" i="2"/>
  <c r="A174" i="2"/>
  <c r="E173" i="2"/>
  <c r="A173" i="2"/>
  <c r="E172" i="2"/>
  <c r="A172" i="2"/>
  <c r="E171" i="2"/>
  <c r="A171" i="2"/>
  <c r="E170" i="2"/>
  <c r="A170" i="2"/>
  <c r="E169" i="2"/>
  <c r="A169" i="2"/>
  <c r="E168" i="2"/>
  <c r="A168" i="2"/>
  <c r="E167" i="2"/>
  <c r="A167" i="2"/>
  <c r="E166" i="2"/>
  <c r="A166" i="2"/>
  <c r="E165" i="2"/>
  <c r="A165" i="2"/>
  <c r="E164" i="2"/>
  <c r="A164" i="2"/>
  <c r="E163" i="2"/>
  <c r="A163" i="2"/>
  <c r="E162" i="2"/>
  <c r="A162" i="2"/>
  <c r="E161" i="2"/>
  <c r="A161" i="2"/>
  <c r="E160" i="2"/>
  <c r="A160" i="2"/>
  <c r="E159" i="2"/>
  <c r="A159" i="2"/>
  <c r="E158" i="2"/>
  <c r="A158" i="2"/>
  <c r="E157" i="2"/>
  <c r="A157" i="2"/>
  <c r="E156" i="2"/>
  <c r="A156" i="2"/>
  <c r="E155" i="2"/>
  <c r="A155" i="2"/>
  <c r="E154" i="2"/>
  <c r="A154" i="2"/>
  <c r="E153" i="2"/>
  <c r="A153" i="2"/>
  <c r="E151" i="2"/>
  <c r="A151" i="2"/>
  <c r="E150" i="2"/>
  <c r="A150" i="2"/>
  <c r="E149" i="2"/>
  <c r="A149" i="2"/>
  <c r="E148" i="2"/>
  <c r="A148" i="2"/>
  <c r="E147" i="2"/>
  <c r="A147" i="2"/>
  <c r="E146" i="2"/>
  <c r="A146" i="2"/>
  <c r="E145" i="2"/>
  <c r="A145" i="2"/>
  <c r="E144" i="2"/>
  <c r="A144" i="2"/>
  <c r="E143" i="2"/>
  <c r="A143" i="2"/>
  <c r="E142" i="2"/>
  <c r="A142" i="2"/>
  <c r="E141" i="2"/>
  <c r="A141" i="2"/>
  <c r="E140" i="2"/>
  <c r="A140" i="2"/>
  <c r="E139" i="2"/>
  <c r="A139" i="2"/>
  <c r="E138" i="2"/>
  <c r="A138" i="2"/>
  <c r="E137" i="2"/>
  <c r="A137" i="2"/>
  <c r="E136" i="2"/>
  <c r="A136" i="2"/>
  <c r="E437" i="2"/>
  <c r="A437" i="2"/>
  <c r="E135" i="2"/>
  <c r="A135" i="2"/>
  <c r="E134" i="2"/>
  <c r="A134" i="2"/>
  <c r="E133" i="2"/>
  <c r="A133" i="2"/>
  <c r="E132" i="2"/>
  <c r="A132" i="2"/>
  <c r="E131" i="2"/>
  <c r="A131" i="2"/>
  <c r="E130" i="2"/>
  <c r="A130" i="2"/>
  <c r="E129" i="2"/>
  <c r="A129" i="2"/>
  <c r="E128" i="2"/>
  <c r="A128" i="2"/>
  <c r="E127" i="2"/>
  <c r="A127" i="2"/>
  <c r="E126" i="2"/>
  <c r="A126" i="2"/>
  <c r="E125" i="2"/>
  <c r="A125" i="2"/>
  <c r="E124" i="2"/>
  <c r="A124" i="2"/>
  <c r="E123" i="2"/>
  <c r="A123" i="2"/>
  <c r="E122" i="2"/>
  <c r="A122" i="2"/>
  <c r="E121" i="2"/>
  <c r="A121" i="2"/>
  <c r="E120" i="2"/>
  <c r="A120" i="2"/>
  <c r="E119" i="2"/>
  <c r="A119" i="2"/>
  <c r="E118" i="2"/>
  <c r="A118" i="2"/>
  <c r="E117" i="2"/>
  <c r="A117" i="2"/>
  <c r="E116" i="2"/>
  <c r="A116" i="2"/>
  <c r="E115" i="2"/>
  <c r="A115" i="2"/>
  <c r="E114" i="2"/>
  <c r="A114" i="2"/>
  <c r="E113" i="2"/>
  <c r="A113" i="2"/>
  <c r="E112" i="2"/>
  <c r="A112" i="2"/>
  <c r="E111" i="2"/>
  <c r="A111" i="2"/>
  <c r="E110" i="2"/>
  <c r="A110" i="2"/>
  <c r="E109" i="2"/>
  <c r="A109" i="2"/>
  <c r="E108" i="2"/>
  <c r="A108" i="2"/>
  <c r="E107" i="2"/>
  <c r="A107" i="2"/>
  <c r="E106" i="2"/>
  <c r="A106" i="2"/>
  <c r="E105" i="2"/>
  <c r="A105" i="2"/>
  <c r="E104" i="2"/>
  <c r="A104" i="2"/>
  <c r="E103" i="2"/>
  <c r="A103" i="2"/>
  <c r="E102" i="2"/>
  <c r="A102" i="2"/>
  <c r="E101" i="2"/>
  <c r="A101" i="2"/>
  <c r="E99" i="2"/>
  <c r="A99" i="2"/>
  <c r="E98" i="2"/>
  <c r="A98" i="2"/>
  <c r="E97" i="2"/>
  <c r="A97" i="2"/>
  <c r="E96" i="2"/>
  <c r="A96" i="2"/>
  <c r="E95" i="2"/>
  <c r="A95" i="2"/>
  <c r="E94" i="2"/>
  <c r="A94" i="2"/>
  <c r="E93" i="2"/>
  <c r="A93" i="2"/>
  <c r="E92" i="2"/>
  <c r="A92" i="2"/>
  <c r="E91" i="2"/>
  <c r="A91" i="2"/>
  <c r="E90" i="2"/>
  <c r="A90" i="2"/>
  <c r="E89" i="2"/>
  <c r="A89" i="2"/>
  <c r="E88" i="2"/>
  <c r="A88" i="2"/>
  <c r="E87" i="2"/>
  <c r="A87" i="2"/>
  <c r="E86" i="2"/>
  <c r="A86" i="2"/>
  <c r="E85" i="2"/>
  <c r="A85" i="2"/>
  <c r="E84" i="2"/>
  <c r="A84" i="2"/>
  <c r="E83" i="2"/>
  <c r="A83" i="2"/>
  <c r="E82" i="2"/>
  <c r="A82" i="2"/>
  <c r="E81" i="2"/>
  <c r="A81" i="2"/>
  <c r="E80" i="2"/>
  <c r="A80" i="2"/>
  <c r="E79" i="2"/>
  <c r="A79" i="2"/>
  <c r="E78" i="2"/>
  <c r="A78" i="2"/>
  <c r="E77" i="2"/>
  <c r="A77" i="2"/>
  <c r="E76" i="2"/>
  <c r="A76" i="2"/>
  <c r="E75" i="2"/>
  <c r="A75" i="2"/>
  <c r="E74" i="2"/>
  <c r="A74" i="2"/>
  <c r="E73" i="2"/>
  <c r="A73" i="2"/>
  <c r="E72" i="2"/>
  <c r="A72" i="2"/>
  <c r="E71" i="2"/>
  <c r="A71" i="2"/>
  <c r="E70" i="2"/>
  <c r="A70" i="2"/>
  <c r="E69" i="2"/>
  <c r="A69" i="2"/>
  <c r="E68" i="2"/>
  <c r="A68" i="2"/>
  <c r="E67" i="2"/>
  <c r="A67" i="2"/>
  <c r="E66" i="2"/>
  <c r="A66" i="2"/>
  <c r="E65" i="2"/>
  <c r="A65" i="2"/>
  <c r="E436" i="2"/>
  <c r="A436" i="2"/>
  <c r="E64" i="2"/>
  <c r="A64" i="2"/>
  <c r="E63" i="2"/>
  <c r="A63" i="2"/>
  <c r="E62" i="2"/>
  <c r="A62" i="2"/>
  <c r="E61" i="2"/>
  <c r="A61" i="2"/>
  <c r="E60" i="2"/>
  <c r="A60" i="2"/>
  <c r="E59" i="2"/>
  <c r="A59" i="2"/>
  <c r="E58" i="2"/>
  <c r="A58" i="2"/>
  <c r="E57" i="2"/>
  <c r="A57" i="2"/>
  <c r="E56" i="2"/>
  <c r="A56" i="2"/>
  <c r="E55" i="2"/>
  <c r="A55" i="2"/>
  <c r="E54" i="2"/>
  <c r="A54" i="2"/>
  <c r="E53" i="2"/>
  <c r="A53" i="2"/>
  <c r="E52" i="2"/>
  <c r="A52" i="2"/>
  <c r="E51" i="2"/>
  <c r="A51" i="2"/>
  <c r="E50" i="2"/>
  <c r="A50" i="2"/>
  <c r="E49" i="2"/>
  <c r="A49" i="2"/>
  <c r="E48" i="2"/>
  <c r="A48" i="2"/>
  <c r="E47" i="2"/>
  <c r="A47" i="2"/>
  <c r="E46" i="2"/>
  <c r="A46" i="2"/>
  <c r="E45" i="2"/>
  <c r="A45" i="2"/>
  <c r="E44" i="2"/>
  <c r="A44" i="2"/>
  <c r="E43" i="2"/>
  <c r="A43" i="2"/>
  <c r="E42" i="2"/>
  <c r="A42" i="2"/>
  <c r="E41" i="2"/>
  <c r="A41" i="2"/>
  <c r="E40" i="2"/>
  <c r="A40" i="2"/>
  <c r="E39" i="2"/>
  <c r="A39" i="2"/>
  <c r="E38" i="2"/>
  <c r="A38" i="2"/>
  <c r="E37" i="2"/>
  <c r="A37" i="2"/>
  <c r="E36" i="2"/>
  <c r="A36" i="2"/>
  <c r="E35" i="2"/>
  <c r="A35" i="2"/>
  <c r="E34" i="2"/>
  <c r="A34" i="2"/>
  <c r="E33" i="2"/>
  <c r="A33" i="2"/>
  <c r="E32" i="2"/>
  <c r="A32" i="2"/>
  <c r="E31" i="2"/>
  <c r="A31" i="2"/>
  <c r="E30" i="2"/>
  <c r="A30" i="2"/>
  <c r="E29" i="2"/>
  <c r="A29" i="2"/>
  <c r="E28" i="2"/>
  <c r="A28" i="2"/>
  <c r="E27" i="2"/>
  <c r="A27" i="2"/>
  <c r="E26" i="2"/>
  <c r="A26" i="2"/>
  <c r="E25" i="2"/>
  <c r="A25" i="2"/>
  <c r="E24" i="2"/>
  <c r="A24" i="2"/>
  <c r="E23" i="2"/>
  <c r="A23" i="2"/>
  <c r="E22" i="2"/>
  <c r="A22" i="2"/>
  <c r="E21" i="2"/>
  <c r="A21" i="2"/>
  <c r="E20" i="2"/>
  <c r="A20" i="2"/>
  <c r="E19" i="2"/>
  <c r="A19" i="2"/>
  <c r="E18" i="2"/>
  <c r="A18" i="2"/>
  <c r="E17" i="2"/>
  <c r="A17" i="2"/>
  <c r="E16" i="2"/>
  <c r="A16" i="2"/>
  <c r="E15" i="2"/>
  <c r="A15" i="2"/>
  <c r="E14" i="2"/>
  <c r="A14" i="2"/>
  <c r="E13" i="2"/>
  <c r="A13" i="2"/>
  <c r="E12" i="2"/>
  <c r="A12" i="2"/>
  <c r="E11" i="2"/>
  <c r="A11" i="2"/>
  <c r="E10" i="2"/>
  <c r="A10" i="2"/>
  <c r="E9" i="2"/>
  <c r="A9" i="2"/>
  <c r="E8" i="2"/>
  <c r="A8" i="2"/>
  <c r="E7" i="2"/>
  <c r="A7" i="2"/>
  <c r="E6" i="2"/>
  <c r="A6" i="2"/>
  <c r="E5" i="2"/>
  <c r="A5" i="2"/>
  <c r="E4" i="2"/>
  <c r="A4" i="2"/>
  <c r="E3" i="2"/>
  <c r="A3" i="2"/>
</calcChain>
</file>

<file path=xl/sharedStrings.xml><?xml version="1.0" encoding="utf-8"?>
<sst xmlns="http://schemas.openxmlformats.org/spreadsheetml/2006/main" count="9249" uniqueCount="5288">
  <si>
    <t>Evidenční č. MK</t>
  </si>
  <si>
    <t>Sigla</t>
  </si>
  <si>
    <t>Název</t>
  </si>
  <si>
    <t>Adresa</t>
  </si>
  <si>
    <t>PSČ</t>
  </si>
  <si>
    <t>Město</t>
  </si>
  <si>
    <t>Kraj</t>
  </si>
  <si>
    <t>Typ knihovny</t>
  </si>
  <si>
    <t>Půjčování zvuk. záznamů</t>
  </si>
  <si>
    <t>Poznámka</t>
  </si>
  <si>
    <t>ABA000</t>
  </si>
  <si>
    <t>Národní knihovna České republiky</t>
  </si>
  <si>
    <t>Klementinum 190</t>
  </si>
  <si>
    <t>Praha</t>
  </si>
  <si>
    <t>Hlavní město Praha</t>
  </si>
  <si>
    <t>národní knihovna</t>
  </si>
  <si>
    <t>ABA004</t>
  </si>
  <si>
    <t>Národní knihovna České republiky - Slovanská knihovna - oddělení služeb</t>
  </si>
  <si>
    <t>ABA006</t>
  </si>
  <si>
    <t>Vysoká škola ekonomická v Praze - Centrum informačních a knihovnických služeb</t>
  </si>
  <si>
    <t>nám. W. Churchilla 4</t>
  </si>
  <si>
    <t>vysokoškolská knihovna</t>
  </si>
  <si>
    <t>ABA008</t>
  </si>
  <si>
    <t>Národní lékařská knihovna</t>
  </si>
  <si>
    <t>Sokolská 54</t>
  </si>
  <si>
    <t>ostatní specializovaná knihovna</t>
  </si>
  <si>
    <t>ABA009</t>
  </si>
  <si>
    <t>Knihovna Antonína Švehly</t>
  </si>
  <si>
    <t>Slezská 100/7</t>
  </si>
  <si>
    <t>ABA010</t>
  </si>
  <si>
    <t>Národní muzeum - Knihovna Národního muzea</t>
  </si>
  <si>
    <t>Nová budova NM, Vinohradská 1</t>
  </si>
  <si>
    <t>ABA011</t>
  </si>
  <si>
    <t>Parlamentní knihovna</t>
  </si>
  <si>
    <t>Sněmovní 4</t>
  </si>
  <si>
    <t>knihovna státní správy</t>
  </si>
  <si>
    <t>ABA012</t>
  </si>
  <si>
    <t>Národní pedagogické muzeum a knihovna J. A. Komenského - Pedagogická knihovna J. A. Komenského</t>
  </si>
  <si>
    <t>Jeruzalémská 12</t>
  </si>
  <si>
    <t>knihovna kulturní instituce - muzeum</t>
  </si>
  <si>
    <t>ABA013</t>
  </si>
  <si>
    <t>Národní technická knihovna</t>
  </si>
  <si>
    <t>Technická 6/2710</t>
  </si>
  <si>
    <t>ABA121</t>
  </si>
  <si>
    <t>Vojenský historický ústav Praha - Knihovna VHÚ Praha - Referát speciálních fondů</t>
  </si>
  <si>
    <t>Rooseveltova 620/23</t>
  </si>
  <si>
    <t>ABB010</t>
  </si>
  <si>
    <t>Filosofický ústav AV ČR, v. v. i. - Knihovna</t>
  </si>
  <si>
    <t>Husova 6</t>
  </si>
  <si>
    <t>knihovna výzkumného ústavu</t>
  </si>
  <si>
    <t>ABB045</t>
  </si>
  <si>
    <t>Etnologický ústav AV ČR, v. v. i. - Knihovna Kabinetu hudební historie</t>
  </si>
  <si>
    <t>Puškinovo nám. 9</t>
  </si>
  <si>
    <t>ABD001</t>
  </si>
  <si>
    <t>Univerzita Karlova - Filozofická fakulta - Knihovna FF UK</t>
  </si>
  <si>
    <t>nám. Jana Palacha 2</t>
  </si>
  <si>
    <t>ABD003</t>
  </si>
  <si>
    <t>Univerzita Karlova - Právnická fakulta - Knihovna</t>
  </si>
  <si>
    <t>nám. Curieových 7</t>
  </si>
  <si>
    <t>ABD005</t>
  </si>
  <si>
    <t>Univerzita Karlova - Pedagogická fakulta - Knihovna</t>
  </si>
  <si>
    <t>Magdalény Rettigové 4</t>
  </si>
  <si>
    <t>ABD008</t>
  </si>
  <si>
    <t>Univerzita Karlova - 3. lékařská fakulta - Středisko vědeckých informací</t>
  </si>
  <si>
    <t>Ruská 87</t>
  </si>
  <si>
    <t>ABD020</t>
  </si>
  <si>
    <t>Akademie múzických umění v Praze - Knihovny AMU</t>
  </si>
  <si>
    <t>Malostranské nám. 13</t>
  </si>
  <si>
    <t>ABD026</t>
  </si>
  <si>
    <t>Česká zemědělská univerzita v Praze - Studijní a informační centrum</t>
  </si>
  <si>
    <t>Kamýcká 129</t>
  </si>
  <si>
    <t>ABD103</t>
  </si>
  <si>
    <t>Univerzita Karlova - Fakulta sociálních věd - Centrum vědeckých informací</t>
  </si>
  <si>
    <t>Smetanovo nábř. 995/6</t>
  </si>
  <si>
    <t>ABD176</t>
  </si>
  <si>
    <t>Vysoká škola finanční a správní, a. s. - Centrum knihovnických služeb</t>
  </si>
  <si>
    <t>Vltavská 12</t>
  </si>
  <si>
    <t>ABE002</t>
  </si>
  <si>
    <t>Úřad vlády České republiky - Knihovna</t>
  </si>
  <si>
    <t>nábř. Edvarda Beneše 4</t>
  </si>
  <si>
    <t>Pouze přílohy k tištěným dokumentům</t>
  </si>
  <si>
    <t>ABE031</t>
  </si>
  <si>
    <t>Česká národní banka - odborná knihovna</t>
  </si>
  <si>
    <t>Senovážné nám. 29</t>
  </si>
  <si>
    <t>Pobočka Senovážné náměstí 29, Praha 1, 1. patro</t>
  </si>
  <si>
    <t>ABE045</t>
  </si>
  <si>
    <t>Vojenský historický ústav Praha - Odbor historicko dokumentační - Oddělení vojenských knihoven</t>
  </si>
  <si>
    <t>Rooseveltova 23</t>
  </si>
  <si>
    <t>knihovna kulturní instituce- muzeum</t>
  </si>
  <si>
    <t>ABE274</t>
  </si>
  <si>
    <t>Psychiatrická nemocnice Bohnice - Lékařská knihovna</t>
  </si>
  <si>
    <t>Ústavní 91</t>
  </si>
  <si>
    <t>lékařská knihovna</t>
  </si>
  <si>
    <t>ABE288</t>
  </si>
  <si>
    <t>Cesta domů, z.ú. - Knihovna Cesty domů</t>
  </si>
  <si>
    <t>Boleslavská 2008/16</t>
  </si>
  <si>
    <t>ABE308</t>
  </si>
  <si>
    <t>Národní muzeum - Náprstkovo muzeum asijských, afrických a amerických kultur - Knihovna Náprstkova muzea</t>
  </si>
  <si>
    <t>Betlémské nám. 1</t>
  </si>
  <si>
    <t>ABE310</t>
  </si>
  <si>
    <t>Uměleckoprůmyslové museum v Praze - Knihovna</t>
  </si>
  <si>
    <t>ul. 17.listopadu 2</t>
  </si>
  <si>
    <t>ABE311</t>
  </si>
  <si>
    <t>Národní technické muzeum - Knihovna</t>
  </si>
  <si>
    <t>Kostelní 42</t>
  </si>
  <si>
    <t>ABE323</t>
  </si>
  <si>
    <t>Židovské muzeum v Praze - Knihovna</t>
  </si>
  <si>
    <t>U Staré školy 1</t>
  </si>
  <si>
    <t>ABE454</t>
  </si>
  <si>
    <t>Česká křesťanská akademie - Centrální katolická knihovna</t>
  </si>
  <si>
    <t>Thákurova 3</t>
  </si>
  <si>
    <t>církevní knihovna</t>
  </si>
  <si>
    <t>ABG001</t>
  </si>
  <si>
    <t>Městská knihovna v Praze</t>
  </si>
  <si>
    <t>Mariánské nám. 1/98</t>
  </si>
  <si>
    <t>krajská knihovna</t>
  </si>
  <si>
    <t>ABG007</t>
  </si>
  <si>
    <t>Místní knihovna Radotín</t>
  </si>
  <si>
    <t>Loučanská 1406</t>
  </si>
  <si>
    <t>Praha - Radotín</t>
  </si>
  <si>
    <t>obecní knihovna</t>
  </si>
  <si>
    <t>ABG008</t>
  </si>
  <si>
    <t>Místní knihovna Praha 5 - Řeporyje</t>
  </si>
  <si>
    <t>Od školy 596</t>
  </si>
  <si>
    <t>Praha - Řeporyje</t>
  </si>
  <si>
    <t>z výměnných souborů</t>
  </si>
  <si>
    <t>ABG009</t>
  </si>
  <si>
    <t>Místní knihovna</t>
  </si>
  <si>
    <t>U Malé řeky 3</t>
  </si>
  <si>
    <t>Praha - Zbraslav</t>
  </si>
  <si>
    <t>ABG010</t>
  </si>
  <si>
    <t>Místní knihovna v Praze 17 - Řepy</t>
  </si>
  <si>
    <t>Socháňova 1220/27</t>
  </si>
  <si>
    <t>Praha - Řepy</t>
  </si>
  <si>
    <t>Půjčuje zvukové záznamy také z výměnných souborů</t>
  </si>
  <si>
    <t>ABG011</t>
  </si>
  <si>
    <t>Místní veřejná knihovna</t>
  </si>
  <si>
    <t>Suchdolská 360/59</t>
  </si>
  <si>
    <t>Praha - Suchdol</t>
  </si>
  <si>
    <t>Půjčuje zvukové záznamy také z výměnných souborů.</t>
  </si>
  <si>
    <t>ABG013</t>
  </si>
  <si>
    <t>Místní veřejná knihovna v Praze - Dolních Chabrech</t>
  </si>
  <si>
    <t>Hrušovanské náměstí 253/5</t>
  </si>
  <si>
    <t>Praha - Dolní Chabry</t>
  </si>
  <si>
    <t>ABG016</t>
  </si>
  <si>
    <t>Náchodská 754</t>
  </si>
  <si>
    <t>Praha - Horní Počernice</t>
  </si>
  <si>
    <t>ABG017</t>
  </si>
  <si>
    <t>Místní knihovna Kbely</t>
  </si>
  <si>
    <t>Semilská 43/1</t>
  </si>
  <si>
    <t>Praha - Kbely</t>
  </si>
  <si>
    <t>ABG018</t>
  </si>
  <si>
    <t>Knihovna s infocentrem Praha-Kolovraty</t>
  </si>
  <si>
    <t>Mírová 20/54</t>
  </si>
  <si>
    <t>Praha - Kolovraty</t>
  </si>
  <si>
    <t>ABG019</t>
  </si>
  <si>
    <t>Knihovna MČ Praha 18</t>
  </si>
  <si>
    <t>Rychnovská 651</t>
  </si>
  <si>
    <t>Praha - Letňany</t>
  </si>
  <si>
    <t>ABG025</t>
  </si>
  <si>
    <t>Smržovská 1</t>
  </si>
  <si>
    <t>Praha - Klánovice</t>
  </si>
  <si>
    <t>ABG026</t>
  </si>
  <si>
    <t>Zličínská knihovna</t>
  </si>
  <si>
    <t>Křivatcova 244</t>
  </si>
  <si>
    <t>Praha - Zličín</t>
  </si>
  <si>
    <t>ABG027</t>
  </si>
  <si>
    <t>Místní knihovna Praha - Petrovice</t>
  </si>
  <si>
    <t>Edisonova 429</t>
  </si>
  <si>
    <t>Praha - Petrovice</t>
  </si>
  <si>
    <t>ABG029</t>
  </si>
  <si>
    <t>Cementářská 8</t>
  </si>
  <si>
    <t>Praha - Lochkov</t>
  </si>
  <si>
    <t>ABG030</t>
  </si>
  <si>
    <t>Veřejná knihovna Slivenec</t>
  </si>
  <si>
    <t>K Lochkovu 6</t>
  </si>
  <si>
    <t>Praha - Slivenec</t>
  </si>
  <si>
    <t>ABG031</t>
  </si>
  <si>
    <t>K Padesátníku 110</t>
  </si>
  <si>
    <t>Praha - Přední Kopanina</t>
  </si>
  <si>
    <t>ABG032</t>
  </si>
  <si>
    <t>U Parku 140</t>
  </si>
  <si>
    <t>Praha - Březiněves</t>
  </si>
  <si>
    <t>ABG033</t>
  </si>
  <si>
    <t>Za Poštovskou zahradou 479</t>
  </si>
  <si>
    <t>Praha - Běchovice</t>
  </si>
  <si>
    <t>ABG035</t>
  </si>
  <si>
    <t>Místní knihovna Praha-Satalice</t>
  </si>
  <si>
    <t>U Obory 385</t>
  </si>
  <si>
    <t>Praha - Satalice</t>
  </si>
  <si>
    <t>ABG036</t>
  </si>
  <si>
    <t>Místní knihovna Třeboradice</t>
  </si>
  <si>
    <t>Slaviborské nám. 20/1</t>
  </si>
  <si>
    <t>Praha - Třeboradice</t>
  </si>
  <si>
    <t>ABG041</t>
  </si>
  <si>
    <t>Únorová 15</t>
  </si>
  <si>
    <t>Praha - Nedvězí</t>
  </si>
  <si>
    <t>ABG502</t>
  </si>
  <si>
    <t>Husova knihovna Říčany, příspěvková organizace</t>
  </si>
  <si>
    <t>Masarykovo nám. 83/1</t>
  </si>
  <si>
    <t>Říčany u Prahy</t>
  </si>
  <si>
    <t>Středočeský</t>
  </si>
  <si>
    <t>městská knihovna</t>
  </si>
  <si>
    <t>ABG503</t>
  </si>
  <si>
    <t>Knihovna Eduarda Petišky</t>
  </si>
  <si>
    <t>Ivana Olbrachta 36</t>
  </si>
  <si>
    <t>Brandýs nad Labem-Stará Boleslav</t>
  </si>
  <si>
    <t>ABG505</t>
  </si>
  <si>
    <t>Městská knihovna Čelákovice, příspěvková organizace</t>
  </si>
  <si>
    <t>Na Hrádku 1092</t>
  </si>
  <si>
    <t>Čelákovice</t>
  </si>
  <si>
    <t>Zvukové záznamy půjčujeme také na obou pobočkách</t>
  </si>
  <si>
    <t>ABG508</t>
  </si>
  <si>
    <t>Městská knihovna Roztoky</t>
  </si>
  <si>
    <t>Jungmannova 966</t>
  </si>
  <si>
    <t>Roztoky u Prahy</t>
  </si>
  <si>
    <t>ABG509</t>
  </si>
  <si>
    <t>Obecní knihovna</t>
  </si>
  <si>
    <t>Martinova 142</t>
  </si>
  <si>
    <t>Líbeznice</t>
  </si>
  <si>
    <t>ABG510</t>
  </si>
  <si>
    <t>Kulturní centrum Kamenice - Knihovna</t>
  </si>
  <si>
    <t>Ringhofferovo nám. 434</t>
  </si>
  <si>
    <t>Olešovice</t>
  </si>
  <si>
    <t>ABG511</t>
  </si>
  <si>
    <t>Městská knihovna</t>
  </si>
  <si>
    <t>U školky 487</t>
  </si>
  <si>
    <t>Klecany</t>
  </si>
  <si>
    <t>ABG512</t>
  </si>
  <si>
    <t>Jiráskova knihovna</t>
  </si>
  <si>
    <t>Pražská 143</t>
  </si>
  <si>
    <t>Mnichovice</t>
  </si>
  <si>
    <t>ABG513</t>
  </si>
  <si>
    <t>Čs. armády 362</t>
  </si>
  <si>
    <t>Odolena Voda</t>
  </si>
  <si>
    <t>Půjčujeme zvukové záznamy též z výměnných fondů.</t>
  </si>
  <si>
    <t>ABG514</t>
  </si>
  <si>
    <t>Vzorná lidová knihovna ve Velkých Popovicích</t>
  </si>
  <si>
    <t>Komenského 5</t>
  </si>
  <si>
    <t>Velké Popovice</t>
  </si>
  <si>
    <t>ABG521</t>
  </si>
  <si>
    <t>Všenorská knihovna a Informační centrum Berounka</t>
  </si>
  <si>
    <t>U silnice 151</t>
  </si>
  <si>
    <t>Všenory</t>
  </si>
  <si>
    <t>ABG522</t>
  </si>
  <si>
    <t>Budějovická 303</t>
  </si>
  <si>
    <t>Jesenice</t>
  </si>
  <si>
    <t>ABG526</t>
  </si>
  <si>
    <t>Obecní knihovna Čestlice</t>
  </si>
  <si>
    <t>Pitkovická 290</t>
  </si>
  <si>
    <t>Čestlice</t>
  </si>
  <si>
    <t>ABG527</t>
  </si>
  <si>
    <t>Ženíškova obecní knihovna</t>
  </si>
  <si>
    <t>Horní náves 6</t>
  </si>
  <si>
    <t>Louňovice</t>
  </si>
  <si>
    <t>ABG528</t>
  </si>
  <si>
    <t>Obecní knihovna v Sibřině</t>
  </si>
  <si>
    <t>Říčanská 15</t>
  </si>
  <si>
    <t>Sibřina</t>
  </si>
  <si>
    <t>ABG529</t>
  </si>
  <si>
    <t>Základní knihovna Ondřejov</t>
  </si>
  <si>
    <t>Choceradská 62</t>
  </si>
  <si>
    <t>Ondřejov</t>
  </si>
  <si>
    <t>ABG531</t>
  </si>
  <si>
    <t>Obecní knihovna v Tehovci</t>
  </si>
  <si>
    <t>Tehovecká 22</t>
  </si>
  <si>
    <t>Tehovec</t>
  </si>
  <si>
    <t>ABG532</t>
  </si>
  <si>
    <t>Obecní knihovna v Mirošovicích</t>
  </si>
  <si>
    <t>Na Ohradě 190</t>
  </si>
  <si>
    <t>Mirošovice</t>
  </si>
  <si>
    <t>ABG533</t>
  </si>
  <si>
    <t>Obecní knihovna Mochov</t>
  </si>
  <si>
    <t>Na Dolejšku 286</t>
  </si>
  <si>
    <t>Mochov</t>
  </si>
  <si>
    <t>ABG534</t>
  </si>
  <si>
    <t>Místní knihovna ve Světicích</t>
  </si>
  <si>
    <t>U Hřiště 151</t>
  </si>
  <si>
    <t>Světice</t>
  </si>
  <si>
    <t>ABG535</t>
  </si>
  <si>
    <t>Obecní knihovna ve Zvánovicích</t>
  </si>
  <si>
    <t>Školní 99</t>
  </si>
  <si>
    <t>Zvánovice</t>
  </si>
  <si>
    <t>ABG537</t>
  </si>
  <si>
    <t>Obecní knihovna ve Vyšehořovicích</t>
  </si>
  <si>
    <t>Vyšehořovice 88</t>
  </si>
  <si>
    <t>Vyšehořovice</t>
  </si>
  <si>
    <t>ABG538</t>
  </si>
  <si>
    <t>Obecní knihovna Panenské Břežany</t>
  </si>
  <si>
    <t>Hlavní 17</t>
  </si>
  <si>
    <t>Panenské Břežany</t>
  </si>
  <si>
    <t>ABG539</t>
  </si>
  <si>
    <t>Obecní knihovna Brázdim</t>
  </si>
  <si>
    <t>Nový Brázdim 30</t>
  </si>
  <si>
    <t>Brázdim</t>
  </si>
  <si>
    <t>ABG540</t>
  </si>
  <si>
    <t>Obecní knihovna Nehvizdy</t>
  </si>
  <si>
    <t>Pražská 8</t>
  </si>
  <si>
    <t>Nehvizdy</t>
  </si>
  <si>
    <t>ABG541</t>
  </si>
  <si>
    <t>Obecní knihovna Klíčany</t>
  </si>
  <si>
    <t>Ke školce 8</t>
  </si>
  <si>
    <t>Klíčany</t>
  </si>
  <si>
    <t>ABG542</t>
  </si>
  <si>
    <t>Obecní knihovna v Měšicích</t>
  </si>
  <si>
    <t>Nová 275</t>
  </si>
  <si>
    <t>Měšice</t>
  </si>
  <si>
    <t>ABG543</t>
  </si>
  <si>
    <t>Obecní knihovna Kojetice</t>
  </si>
  <si>
    <t>Lipová 155</t>
  </si>
  <si>
    <t>Kojetice</t>
  </si>
  <si>
    <t>ABG544</t>
  </si>
  <si>
    <t>Obecní knihovna Předboj</t>
  </si>
  <si>
    <t>Předboj 18</t>
  </si>
  <si>
    <t>Předboj</t>
  </si>
  <si>
    <t>ABG545</t>
  </si>
  <si>
    <t>Obecní knihovna v Mukařově</t>
  </si>
  <si>
    <t>Příčná 61</t>
  </si>
  <si>
    <t>Mukařov</t>
  </si>
  <si>
    <t>ABG546</t>
  </si>
  <si>
    <t>Obecní knihovna Hrusice</t>
  </si>
  <si>
    <t>Hrusice 142</t>
  </si>
  <si>
    <t>Hrusice</t>
  </si>
  <si>
    <t>ABG547</t>
  </si>
  <si>
    <t>Obecní knihovna Podolanka</t>
  </si>
  <si>
    <t>Hlavní 15</t>
  </si>
  <si>
    <t>Podolanka</t>
  </si>
  <si>
    <t>ABG548</t>
  </si>
  <si>
    <t>Obecní knihovna Lázně Toušeň</t>
  </si>
  <si>
    <t>Mlýnská 87</t>
  </si>
  <si>
    <t>Lázně Toušeň</t>
  </si>
  <si>
    <t>ABG549</t>
  </si>
  <si>
    <t>Obecní knihovna Dřevčice</t>
  </si>
  <si>
    <t>Dřevčice 73</t>
  </si>
  <si>
    <t>Dřevčice</t>
  </si>
  <si>
    <t>ABG551</t>
  </si>
  <si>
    <t>Místní lidová knihovna v Radějovicích</t>
  </si>
  <si>
    <t>Radějovice 10</t>
  </si>
  <si>
    <t>Radějovice</t>
  </si>
  <si>
    <t>ABG552</t>
  </si>
  <si>
    <t>Obecní knihovna Vodochody</t>
  </si>
  <si>
    <t>Hlavní 108</t>
  </si>
  <si>
    <t>Vodochody</t>
  </si>
  <si>
    <t>ABG553</t>
  </si>
  <si>
    <t>Obecní knihovna Mratín</t>
  </si>
  <si>
    <t>Kostelecká 131</t>
  </si>
  <si>
    <t>Mratín</t>
  </si>
  <si>
    <t>ABG554</t>
  </si>
  <si>
    <t>Obecní knihovna Kostelec u Křížků</t>
  </si>
  <si>
    <t>Kostelec u Křížků 73</t>
  </si>
  <si>
    <t>Kostelec u Křížků</t>
  </si>
  <si>
    <t>ABG555</t>
  </si>
  <si>
    <t>Obecní knihovna v Zápech</t>
  </si>
  <si>
    <t>Zápy 71</t>
  </si>
  <si>
    <t>Zápy</t>
  </si>
  <si>
    <t>ABG556</t>
  </si>
  <si>
    <t>Obecní knihovna Zeleneč</t>
  </si>
  <si>
    <t>Čsl. armády 18</t>
  </si>
  <si>
    <t>Zeleneč</t>
  </si>
  <si>
    <t>ABG557</t>
  </si>
  <si>
    <t>Obecní knihovna Jirny</t>
  </si>
  <si>
    <t>Brandýská 9</t>
  </si>
  <si>
    <t>Jirny</t>
  </si>
  <si>
    <t>ABG558</t>
  </si>
  <si>
    <t>Obecní knihovna Nové Jirny</t>
  </si>
  <si>
    <t>Dělnická 303</t>
  </si>
  <si>
    <t>Nové Jirny</t>
  </si>
  <si>
    <t>ABG559</t>
  </si>
  <si>
    <t>Obecní knihovna Škvorec</t>
  </si>
  <si>
    <t>Masarykovo nám. 122</t>
  </si>
  <si>
    <t>Škvorec</t>
  </si>
  <si>
    <t>ABG561</t>
  </si>
  <si>
    <t>Obecní knihovna Březí</t>
  </si>
  <si>
    <t>Březí 101</t>
  </si>
  <si>
    <t>Březí</t>
  </si>
  <si>
    <t>ABG562</t>
  </si>
  <si>
    <t>Obecní knihovna Jenštejn</t>
  </si>
  <si>
    <t>nám. 9. května 60</t>
  </si>
  <si>
    <t>Jenštejn</t>
  </si>
  <si>
    <t>ABG563</t>
  </si>
  <si>
    <t>Obecní knihovna Veleň</t>
  </si>
  <si>
    <t>Hlavní 7</t>
  </si>
  <si>
    <t>Veleň</t>
  </si>
  <si>
    <t>ABG565</t>
  </si>
  <si>
    <t>Obecní knihovna Tehov</t>
  </si>
  <si>
    <t>Tehov 78</t>
  </si>
  <si>
    <t>Tehov</t>
  </si>
  <si>
    <t>ABG566</t>
  </si>
  <si>
    <t>Obecní knihovna v Přezleticích</t>
  </si>
  <si>
    <t>Veleňská 48</t>
  </si>
  <si>
    <t>Přezletice</t>
  </si>
  <si>
    <t>ABG567</t>
  </si>
  <si>
    <t>Obecní knihovna Bášť</t>
  </si>
  <si>
    <t>ul. Za Vilou 204, Bášť</t>
  </si>
  <si>
    <t>Bašť</t>
  </si>
  <si>
    <t>ABG568</t>
  </si>
  <si>
    <t>Obecní knihovna Větrušice</t>
  </si>
  <si>
    <t>Větrušice 12</t>
  </si>
  <si>
    <t>ABG569</t>
  </si>
  <si>
    <t>Obecní knihovna Nová Ves</t>
  </si>
  <si>
    <t>Nová Ves 12</t>
  </si>
  <si>
    <t>Nová Ves</t>
  </si>
  <si>
    <t>ABG570</t>
  </si>
  <si>
    <t>Obecní knihovna Zdiby</t>
  </si>
  <si>
    <t>Průběžná 14</t>
  </si>
  <si>
    <t>Zdiby</t>
  </si>
  <si>
    <t>ABG573</t>
  </si>
  <si>
    <t>Obecní knihovna Křížkový Újezdec</t>
  </si>
  <si>
    <t>Křížkový Újezdec 37</t>
  </si>
  <si>
    <t>Křížkový Újezdec</t>
  </si>
  <si>
    <t>ABG574</t>
  </si>
  <si>
    <t>Obecní knihovna Sluhy</t>
  </si>
  <si>
    <t>Sluhy 7</t>
  </si>
  <si>
    <t>Sluhy</t>
  </si>
  <si>
    <t>ABG575</t>
  </si>
  <si>
    <t>Obecní knihovna Veliká Ves</t>
  </si>
  <si>
    <t>Veliká Ves, Hlavní 69</t>
  </si>
  <si>
    <t>Veliká Ves</t>
  </si>
  <si>
    <t>ABG577</t>
  </si>
  <si>
    <t>Obecní knihovna - Radonice</t>
  </si>
  <si>
    <t>Na Skále 185</t>
  </si>
  <si>
    <t>Radonice</t>
  </si>
  <si>
    <t>ABG578</t>
  </si>
  <si>
    <t>Obecní knihovna ve Struhařově</t>
  </si>
  <si>
    <t>Školní nám. 55</t>
  </si>
  <si>
    <t>Struhařov</t>
  </si>
  <si>
    <t>ABG579</t>
  </si>
  <si>
    <t>Obecní knihovna Senohraby</t>
  </si>
  <si>
    <t>Senohraby</t>
  </si>
  <si>
    <t>ABG580</t>
  </si>
  <si>
    <t>Obecní knihovna Máslovice</t>
  </si>
  <si>
    <t>Pražská 18</t>
  </si>
  <si>
    <t>Máslovice</t>
  </si>
  <si>
    <t>ABG582</t>
  </si>
  <si>
    <t>Obecní knihovna v Šestajovicích</t>
  </si>
  <si>
    <t>Husova 60</t>
  </si>
  <si>
    <t>Šestajovice</t>
  </si>
  <si>
    <t>ABG583</t>
  </si>
  <si>
    <t>Obecní knihovna Hovorčovice</t>
  </si>
  <si>
    <t>Revoluční 18</t>
  </si>
  <si>
    <t>Hovorčovice</t>
  </si>
  <si>
    <t>ABG584</t>
  </si>
  <si>
    <t>Obecní knihovna v Sudově Hlavně</t>
  </si>
  <si>
    <t>Sudovo Hlavno 15</t>
  </si>
  <si>
    <t>Sudovo Hlavno</t>
  </si>
  <si>
    <t>ABG585</t>
  </si>
  <si>
    <t>Obecní knihovna v Novém Vestci</t>
  </si>
  <si>
    <t>Ke Spořilovu 5</t>
  </si>
  <si>
    <t>Nový Vestec</t>
  </si>
  <si>
    <t>ABG586</t>
  </si>
  <si>
    <t>Obecní knihovna Husinec</t>
  </si>
  <si>
    <t>U Radnice 64</t>
  </si>
  <si>
    <t>Husinec</t>
  </si>
  <si>
    <t>ABG587</t>
  </si>
  <si>
    <t>Obecní knihovna v Hlavenci</t>
  </si>
  <si>
    <t>Hlavenec 82</t>
  </si>
  <si>
    <t>Hlavenec</t>
  </si>
  <si>
    <t>ABG590</t>
  </si>
  <si>
    <t>Knihovna Kytín</t>
  </si>
  <si>
    <t>Kytín 2</t>
  </si>
  <si>
    <t>Kytín</t>
  </si>
  <si>
    <t>ABG594</t>
  </si>
  <si>
    <t>Obecní knihovna Kamenný Přívoz</t>
  </si>
  <si>
    <t>Kamenný Přívoz 285</t>
  </si>
  <si>
    <t>Kamenný Přívoz</t>
  </si>
  <si>
    <t>ABG599</t>
  </si>
  <si>
    <t>Místní knihovna v Bratřínově</t>
  </si>
  <si>
    <t>Bratřínov 12</t>
  </si>
  <si>
    <t>Bratřínov</t>
  </si>
  <si>
    <t>ABG603</t>
  </si>
  <si>
    <t>Obecní knihovna Klínec</t>
  </si>
  <si>
    <t>Klínec 76</t>
  </si>
  <si>
    <t>Klínec</t>
  </si>
  <si>
    <t>ABG605</t>
  </si>
  <si>
    <t>Knihovna městyse Štěchovice, Multifunkční centrum</t>
  </si>
  <si>
    <t>prof. Vl. Lista 393</t>
  </si>
  <si>
    <t>Štěchovice</t>
  </si>
  <si>
    <t>ABG606</t>
  </si>
  <si>
    <t>Místní lidová knihovna Řitka</t>
  </si>
  <si>
    <t>Na Návsi 54</t>
  </si>
  <si>
    <t>Řitka</t>
  </si>
  <si>
    <t>ABG607</t>
  </si>
  <si>
    <t>Obecní knihovna obce Zvole</t>
  </si>
  <si>
    <t>J. Štulíka 13</t>
  </si>
  <si>
    <t>Zvole</t>
  </si>
  <si>
    <t>ABG608</t>
  </si>
  <si>
    <t>Obecní knihovna Dobřichovice</t>
  </si>
  <si>
    <t>Dobřichovice 123</t>
  </si>
  <si>
    <t>Dobřichovice</t>
  </si>
  <si>
    <t>ABG609</t>
  </si>
  <si>
    <t>Obecní knihovna Čisovice</t>
  </si>
  <si>
    <t>Čisovice 4</t>
  </si>
  <si>
    <t>Čisovice</t>
  </si>
  <si>
    <t>ABG611</t>
  </si>
  <si>
    <t>Obecní knihovna Petrov</t>
  </si>
  <si>
    <t>Hlavní 30</t>
  </si>
  <si>
    <t>Petrov</t>
  </si>
  <si>
    <t>ABG613</t>
  </si>
  <si>
    <t>Místní knihovna Jíloviště</t>
  </si>
  <si>
    <t>Pražská 81</t>
  </si>
  <si>
    <t>Jíloviště</t>
  </si>
  <si>
    <t>ABG617</t>
  </si>
  <si>
    <t>Obecní knihovna v Hradištku</t>
  </si>
  <si>
    <t>Chovatelů 500</t>
  </si>
  <si>
    <t>Hradištko</t>
  </si>
  <si>
    <t>ABG621</t>
  </si>
  <si>
    <t>Místní knihovna Vrané nad Vltavou</t>
  </si>
  <si>
    <t>Březovská 382</t>
  </si>
  <si>
    <t>Vrané nad Vltavou</t>
  </si>
  <si>
    <t>ABG624</t>
  </si>
  <si>
    <t>Obecní knihovna ve Hvozdnici</t>
  </si>
  <si>
    <t>Hvozdnice 160</t>
  </si>
  <si>
    <t>Hvozdnice</t>
  </si>
  <si>
    <t>ABG626</t>
  </si>
  <si>
    <t>Obecní knihovna Líšnice</t>
  </si>
  <si>
    <t>Líšnice 175</t>
  </si>
  <si>
    <t>Líšnice</t>
  </si>
  <si>
    <t>ABG627</t>
  </si>
  <si>
    <t>Místní lidová knihovna ve Stříbrné Lhotě</t>
  </si>
  <si>
    <t>Stříbrná Lhota 1167</t>
  </si>
  <si>
    <t>Stříbrná Lhota</t>
  </si>
  <si>
    <t>ABH302</t>
  </si>
  <si>
    <t>Národní muzeum - České muzeum hudby - Muzeum Antonína Dvořáka</t>
  </si>
  <si>
    <t>Ke Karlovu 20</t>
  </si>
  <si>
    <t>BEG001</t>
  </si>
  <si>
    <t>Městská knihovna Beroun</t>
  </si>
  <si>
    <t>U Kasáren 813</t>
  </si>
  <si>
    <t>Beroun</t>
  </si>
  <si>
    <t>BEG501</t>
  </si>
  <si>
    <t>Městské kulturní centrum Hořovice - Městská knihovna Hořovice</t>
  </si>
  <si>
    <t>Vrbnovská 30/1</t>
  </si>
  <si>
    <t>Hořovice</t>
  </si>
  <si>
    <t>BEG511</t>
  </si>
  <si>
    <t>Základní knihovna Tlustice</t>
  </si>
  <si>
    <t>Tlustice 203</t>
  </si>
  <si>
    <t>Tlustice</t>
  </si>
  <si>
    <t>BEG512</t>
  </si>
  <si>
    <t>Obecní veřejná knihovna ve Skuhrově</t>
  </si>
  <si>
    <t>Hatě 46</t>
  </si>
  <si>
    <t>Skuhrov</t>
  </si>
  <si>
    <t>BEG513</t>
  </si>
  <si>
    <t>Obecní knihovna v Běštíně</t>
  </si>
  <si>
    <t>Běštín 28</t>
  </si>
  <si>
    <t>Běštín</t>
  </si>
  <si>
    <t>BEG514</t>
  </si>
  <si>
    <t>Obecní knihovna Velký Chlumec</t>
  </si>
  <si>
    <t>Malý Chlumec 72</t>
  </si>
  <si>
    <t>Velký Chlumec</t>
  </si>
  <si>
    <t>BEG515</t>
  </si>
  <si>
    <t>Obecní knihovna v Cerhovicích</t>
  </si>
  <si>
    <t>nám. Kapitána Kučery 10</t>
  </si>
  <si>
    <t>Cerhovice</t>
  </si>
  <si>
    <t>BEG518</t>
  </si>
  <si>
    <t>Obecní knihovna v Zaječově</t>
  </si>
  <si>
    <t>Zaječov 265</t>
  </si>
  <si>
    <t>Zaječov</t>
  </si>
  <si>
    <t>BEG519</t>
  </si>
  <si>
    <t>Obecní knihovna v Libomyšli</t>
  </si>
  <si>
    <t>Libomyšl 71</t>
  </si>
  <si>
    <t>Libomyšl</t>
  </si>
  <si>
    <t>BEG520</t>
  </si>
  <si>
    <t>Obecní knihovna v Březové</t>
  </si>
  <si>
    <t>Březová 23</t>
  </si>
  <si>
    <t>Březová</t>
  </si>
  <si>
    <t>BEG522</t>
  </si>
  <si>
    <t>Obecní knihovna ve Stašově</t>
  </si>
  <si>
    <t>Stašov 114</t>
  </si>
  <si>
    <t>Stašov</t>
  </si>
  <si>
    <t>BEG523</t>
  </si>
  <si>
    <t>Obecní knihovna Osek</t>
  </si>
  <si>
    <t>Osek 21</t>
  </si>
  <si>
    <t>Osek</t>
  </si>
  <si>
    <t>BEG524</t>
  </si>
  <si>
    <t>Obecní knihovna v Újezdě</t>
  </si>
  <si>
    <t>Újezd 192</t>
  </si>
  <si>
    <t>Újezd</t>
  </si>
  <si>
    <t>BEG526</t>
  </si>
  <si>
    <t>Místní knihovna Osov</t>
  </si>
  <si>
    <t>Osov 108</t>
  </si>
  <si>
    <t>Osov</t>
  </si>
  <si>
    <t>BEG527</t>
  </si>
  <si>
    <t>Obecní knihovna v Nesvačilech</t>
  </si>
  <si>
    <t>Nesvačily 2</t>
  </si>
  <si>
    <t>Nesvačily</t>
  </si>
  <si>
    <t>BEG529</t>
  </si>
  <si>
    <t>Obecní knihovna ve Skřipli</t>
  </si>
  <si>
    <t>Skřipel 55</t>
  </si>
  <si>
    <t>Skřipel</t>
  </si>
  <si>
    <t>BEG530</t>
  </si>
  <si>
    <t>Obecní knihovna v Chaloupkách</t>
  </si>
  <si>
    <t>Chaloupky 117</t>
  </si>
  <si>
    <t>Chaloupky</t>
  </si>
  <si>
    <t>BEG531</t>
  </si>
  <si>
    <t>Obecní knihovna Záluží</t>
  </si>
  <si>
    <t>Záluží 42</t>
  </si>
  <si>
    <t>Záluží</t>
  </si>
  <si>
    <t>BEG533</t>
  </si>
  <si>
    <t>Obecní knihovna v Kotopekách</t>
  </si>
  <si>
    <t>Kotopeky 7</t>
  </si>
  <si>
    <t>Kotopeky</t>
  </si>
  <si>
    <t>BEG534</t>
  </si>
  <si>
    <t>Obecní knihovna v Bubovicích</t>
  </si>
  <si>
    <t>Bubovice 27</t>
  </si>
  <si>
    <t>Bubovice</t>
  </si>
  <si>
    <t>BEG535</t>
  </si>
  <si>
    <t>Obecní knihovna ve Vižině</t>
  </si>
  <si>
    <t>Vižina 36</t>
  </si>
  <si>
    <t>Vižina</t>
  </si>
  <si>
    <t>BEG539</t>
  </si>
  <si>
    <t>Obecní knihovna Srbsko</t>
  </si>
  <si>
    <t>Srbsko 16</t>
  </si>
  <si>
    <t>Srbsko</t>
  </si>
  <si>
    <t>BEG540</t>
  </si>
  <si>
    <t>Místní knihovna v Lochovicích</t>
  </si>
  <si>
    <t>Lochovice 77</t>
  </si>
  <si>
    <t>Lochovice</t>
  </si>
  <si>
    <t>BEG541</t>
  </si>
  <si>
    <t>Obecní knihovna v Bykoši</t>
  </si>
  <si>
    <t>Bykoš 48</t>
  </si>
  <si>
    <t>Bykoš</t>
  </si>
  <si>
    <t>BEG542</t>
  </si>
  <si>
    <t>Obecní knihovna v Neumětelích</t>
  </si>
  <si>
    <t>Neumětely 163</t>
  </si>
  <si>
    <t>Neumětely</t>
  </si>
  <si>
    <t>BEG543</t>
  </si>
  <si>
    <t>Obecní knihovna v Podluhách</t>
  </si>
  <si>
    <t>Podluhy 51</t>
  </si>
  <si>
    <t>Podluhy</t>
  </si>
  <si>
    <t>BEG544</t>
  </si>
  <si>
    <t>Obecní knihovna v Zadní Třebani</t>
  </si>
  <si>
    <t>Na Návsi 4</t>
  </si>
  <si>
    <t>Zadní Třebaň</t>
  </si>
  <si>
    <t>BEG550</t>
  </si>
  <si>
    <t>Obecní knihovna ve Bzové</t>
  </si>
  <si>
    <t>Bzová 52</t>
  </si>
  <si>
    <t>Bzová</t>
  </si>
  <si>
    <t>BEG551</t>
  </si>
  <si>
    <t>Obecní knihovna ve Felbabce</t>
  </si>
  <si>
    <t>Felbabka 79</t>
  </si>
  <si>
    <t>Felbabka</t>
  </si>
  <si>
    <t>BEG552</t>
  </si>
  <si>
    <t>Obecní knihovna v Podbrdech</t>
  </si>
  <si>
    <t>Podbrdy 8</t>
  </si>
  <si>
    <t>Podbrdy</t>
  </si>
  <si>
    <t>BEG554</t>
  </si>
  <si>
    <t>Obecní knihovna ve Hředlích</t>
  </si>
  <si>
    <t>Hředle 25</t>
  </si>
  <si>
    <t>Hředle</t>
  </si>
  <si>
    <t>BEG555</t>
  </si>
  <si>
    <t>Obecní knihovna Svinaře</t>
  </si>
  <si>
    <t>Svinaře 64</t>
  </si>
  <si>
    <t>Svinaře</t>
  </si>
  <si>
    <t>BEG556</t>
  </si>
  <si>
    <t>Obecní knihovna Praskolesy</t>
  </si>
  <si>
    <t>Praskolesy 300</t>
  </si>
  <si>
    <t>Praskolesy</t>
  </si>
  <si>
    <t>BEG558</t>
  </si>
  <si>
    <t>Obecní knihovna Chlustina</t>
  </si>
  <si>
    <t>Chlustina 32</t>
  </si>
  <si>
    <t>Chlustina</t>
  </si>
  <si>
    <t>BEG561</t>
  </si>
  <si>
    <t>Obecní knihovna v Suchomastech</t>
  </si>
  <si>
    <t>Suchomasty 31</t>
  </si>
  <si>
    <t>Suchomasty</t>
  </si>
  <si>
    <t>BEG562</t>
  </si>
  <si>
    <t>Obecní knihovna Mořinka</t>
  </si>
  <si>
    <t>Mořinka 28</t>
  </si>
  <si>
    <t>Mořinka</t>
  </si>
  <si>
    <t>BEG563</t>
  </si>
  <si>
    <t>Městská knihovna v Hostomicích pod Brdy - pobočka Radouš</t>
  </si>
  <si>
    <t>Radouš</t>
  </si>
  <si>
    <t>BKG001</t>
  </si>
  <si>
    <t>Městská knihovna Blansko</t>
  </si>
  <si>
    <t>Rožmitálova 2302/4</t>
  </si>
  <si>
    <t>Blansko</t>
  </si>
  <si>
    <t>Jihomoravský</t>
  </si>
  <si>
    <t>BKG501</t>
  </si>
  <si>
    <t>Kulturní zařízení města Boskovice - Městská knihovna</t>
  </si>
  <si>
    <t>nám 9.května 2</t>
  </si>
  <si>
    <t>Boskovice</t>
  </si>
  <si>
    <t>BKG502</t>
  </si>
  <si>
    <t>Městská knihovna Letovice</t>
  </si>
  <si>
    <t>Tyršova 2</t>
  </si>
  <si>
    <t>Letovice</t>
  </si>
  <si>
    <t>BKG504</t>
  </si>
  <si>
    <t>Komenského 620</t>
  </si>
  <si>
    <t>Rájec - Jestřebí</t>
  </si>
  <si>
    <t>BKG506</t>
  </si>
  <si>
    <t>nám. Krále Jiřího 105</t>
  </si>
  <si>
    <t>Kunštát</t>
  </si>
  <si>
    <t>BKG507</t>
  </si>
  <si>
    <t>Místní knihovna a informační středisko</t>
  </si>
  <si>
    <t>Havlíčkovo nám. 311</t>
  </si>
  <si>
    <t>Jedovnice</t>
  </si>
  <si>
    <t>BKG523</t>
  </si>
  <si>
    <t>Místní knihovna Úsobrno</t>
  </si>
  <si>
    <t>Úsobrno 45</t>
  </si>
  <si>
    <t>Úsobrno</t>
  </si>
  <si>
    <t>BKG531</t>
  </si>
  <si>
    <t>Obecní knihovna v Drnovicích</t>
  </si>
  <si>
    <t>Drnovice 102</t>
  </si>
  <si>
    <t>Drnovice</t>
  </si>
  <si>
    <t>BKG801</t>
  </si>
  <si>
    <t>Vyšší odborná škola ekonomická a zdravotnická a Střední škola Boskovice, příspěvková organizace - Knihovna</t>
  </si>
  <si>
    <t>Hybešova 53</t>
  </si>
  <si>
    <t>školní knihovna</t>
  </si>
  <si>
    <t>BNG001</t>
  </si>
  <si>
    <t>Městská knihovna Benešov</t>
  </si>
  <si>
    <t>Malé nám. 1700</t>
  </si>
  <si>
    <t>Benešov</t>
  </si>
  <si>
    <t>BNG501</t>
  </si>
  <si>
    <t>Riegrova 378</t>
  </si>
  <si>
    <t>Votice</t>
  </si>
  <si>
    <t>BNG502</t>
  </si>
  <si>
    <t>Na Tenise 1566</t>
  </si>
  <si>
    <t>Vlašim</t>
  </si>
  <si>
    <t>BNG503</t>
  </si>
  <si>
    <t>nám. L. Svobody 2</t>
  </si>
  <si>
    <t>Dolní Kralovice</t>
  </si>
  <si>
    <t>BNG504</t>
  </si>
  <si>
    <t>Obecní knihovna v Čechticích</t>
  </si>
  <si>
    <t>Na Lázni 270</t>
  </si>
  <si>
    <t>Čechtice</t>
  </si>
  <si>
    <t>BNG505</t>
  </si>
  <si>
    <t>Sokolská 23</t>
  </si>
  <si>
    <t>Trhový Štěpánov</t>
  </si>
  <si>
    <t>BNG506</t>
  </si>
  <si>
    <t>Sokolská 28</t>
  </si>
  <si>
    <t>Čerčany</t>
  </si>
  <si>
    <t>Pouze zrakově postiženým</t>
  </si>
  <si>
    <t>BNG507</t>
  </si>
  <si>
    <t>Knihovna Divišov</t>
  </si>
  <si>
    <t>Horní nám. 7</t>
  </si>
  <si>
    <t>Divišov</t>
  </si>
  <si>
    <t>BNG508</t>
  </si>
  <si>
    <t>Miličín 1</t>
  </si>
  <si>
    <t>Miličín</t>
  </si>
  <si>
    <t>BNG509</t>
  </si>
  <si>
    <t>Středisková knihovna</t>
  </si>
  <si>
    <t>U Školky 244</t>
  </si>
  <si>
    <t>Načeradec</t>
  </si>
  <si>
    <t>BNG510</t>
  </si>
  <si>
    <t>Městská knihovna Neveklov</t>
  </si>
  <si>
    <t>Nám. Jana Heřmana 80</t>
  </si>
  <si>
    <t>Neveklov</t>
  </si>
  <si>
    <t>BNG511</t>
  </si>
  <si>
    <t>Komenského 275</t>
  </si>
  <si>
    <t>Sedlec-Prčice</t>
  </si>
  <si>
    <t>BNG512</t>
  </si>
  <si>
    <t>Ješutovo nám. 14</t>
  </si>
  <si>
    <t>Bystřice</t>
  </si>
  <si>
    <t>BNG513</t>
  </si>
  <si>
    <t>Pod Hradištěm 18</t>
  </si>
  <si>
    <t>Týnec nad Sázavou</t>
  </si>
  <si>
    <t>BNG514</t>
  </si>
  <si>
    <t>nám. J. Voskovce a J. Wericha čp. 280</t>
  </si>
  <si>
    <t>Sázava</t>
  </si>
  <si>
    <t>BNG515</t>
  </si>
  <si>
    <t>Vrchotovy Janovice 95</t>
  </si>
  <si>
    <t>Vrchotovy Janovice</t>
  </si>
  <si>
    <t>BNG516</t>
  </si>
  <si>
    <t>Obecní knihovna Střezimíř</t>
  </si>
  <si>
    <t>Střezimíř čp.6</t>
  </si>
  <si>
    <t>Střezimíř</t>
  </si>
  <si>
    <t>BNG518</t>
  </si>
  <si>
    <t>Obecní knihovna v Pravoníně</t>
  </si>
  <si>
    <t>Pravonín 67</t>
  </si>
  <si>
    <t>Pravonín</t>
  </si>
  <si>
    <t>BNG520</t>
  </si>
  <si>
    <t>Obecní knihovna v Netvořicích</t>
  </si>
  <si>
    <t>Mírové nám. 19</t>
  </si>
  <si>
    <t>Netvořice</t>
  </si>
  <si>
    <t>BNG521</t>
  </si>
  <si>
    <t>Obecní knihovna v Popovicích</t>
  </si>
  <si>
    <t>Popovice 78</t>
  </si>
  <si>
    <t>Popovice</t>
  </si>
  <si>
    <t>BNG522</t>
  </si>
  <si>
    <t>Místní knihovna Bukovany</t>
  </si>
  <si>
    <t>Bukovany 154</t>
  </si>
  <si>
    <t>Bukovany</t>
  </si>
  <si>
    <t>BNG523</t>
  </si>
  <si>
    <t>Obecní knihovna v Jankově</t>
  </si>
  <si>
    <t>Na Náměstí 14</t>
  </si>
  <si>
    <t>Jankov</t>
  </si>
  <si>
    <t>BNG524</t>
  </si>
  <si>
    <t>Místní lidová knihovna v Křivsoudově</t>
  </si>
  <si>
    <t>Křivsoudov 1</t>
  </si>
  <si>
    <t>Křivsoudov</t>
  </si>
  <si>
    <t>BNG525</t>
  </si>
  <si>
    <t>Obecní knihovna ve Vojkově</t>
  </si>
  <si>
    <t>Vojkov 20</t>
  </si>
  <si>
    <t>Vojkov</t>
  </si>
  <si>
    <t>BNG526</t>
  </si>
  <si>
    <t>Obecní knihovna v Mrači</t>
  </si>
  <si>
    <t>Mrač 14</t>
  </si>
  <si>
    <t>Mrač</t>
  </si>
  <si>
    <t>BNG528</t>
  </si>
  <si>
    <t>Obecní knihovna Zdislavice</t>
  </si>
  <si>
    <t>Zdislavice 6</t>
  </si>
  <si>
    <t>Zdislavice</t>
  </si>
  <si>
    <t>BNG529</t>
  </si>
  <si>
    <t>Obecní knihovna v Choceradech</t>
  </si>
  <si>
    <t>Chocerady 271</t>
  </si>
  <si>
    <t>Chocerady</t>
  </si>
  <si>
    <t>BNG530</t>
  </si>
  <si>
    <t>Obecní knihovna Maršovice</t>
  </si>
  <si>
    <t>Maršovice 89</t>
  </si>
  <si>
    <t>Maršovice</t>
  </si>
  <si>
    <t>BNG531</t>
  </si>
  <si>
    <t>Obecní knihovna v Chotýšanech</t>
  </si>
  <si>
    <t>Chotýšany 54</t>
  </si>
  <si>
    <t>Chotýšany</t>
  </si>
  <si>
    <t>BNG533</t>
  </si>
  <si>
    <t>Obecní knihovna Řehenice</t>
  </si>
  <si>
    <t>Křiváček 6</t>
  </si>
  <si>
    <t>Řehenice</t>
  </si>
  <si>
    <t>BNG534</t>
  </si>
  <si>
    <t>Obecní knihovna v Ratměřicích</t>
  </si>
  <si>
    <t>Ratměřice 72</t>
  </si>
  <si>
    <t>Ratměřice</t>
  </si>
  <si>
    <t>BNG535</t>
  </si>
  <si>
    <t>Obecní knihovna Drozdov</t>
  </si>
  <si>
    <t>Drozdov 104</t>
  </si>
  <si>
    <t>Drozdov</t>
  </si>
  <si>
    <t>BNG537</t>
  </si>
  <si>
    <t>Místní knihovna v Lešanech</t>
  </si>
  <si>
    <t>Lešany 23</t>
  </si>
  <si>
    <t>Lešany</t>
  </si>
  <si>
    <t>BNG540</t>
  </si>
  <si>
    <t>Obecní knihovna Smilkov</t>
  </si>
  <si>
    <t>Smilkov 46</t>
  </si>
  <si>
    <t>Smilkov</t>
  </si>
  <si>
    <t>BNG541</t>
  </si>
  <si>
    <t>Místní knihovna v Ostředku</t>
  </si>
  <si>
    <t>Ostředek 60</t>
  </si>
  <si>
    <t>Ostředek</t>
  </si>
  <si>
    <t>BNG542</t>
  </si>
  <si>
    <t>Obecní knihovna v Teplýšovicích</t>
  </si>
  <si>
    <t>Teplýšovice 27</t>
  </si>
  <si>
    <t>Teplýšovice</t>
  </si>
  <si>
    <t>BNG543</t>
  </si>
  <si>
    <t>Obecní knihovna v Borovnici</t>
  </si>
  <si>
    <t>Borovnice 30</t>
  </si>
  <si>
    <t>Borovnice</t>
  </si>
  <si>
    <t>BNG544</t>
  </si>
  <si>
    <t>Obecní knihovna v Českém Šternberku</t>
  </si>
  <si>
    <t>Český Šternberk 27</t>
  </si>
  <si>
    <t>Český Šternberk</t>
  </si>
  <si>
    <t>BNG547</t>
  </si>
  <si>
    <t>Obecní knihovna Krhanice</t>
  </si>
  <si>
    <t>Krhanice 46</t>
  </si>
  <si>
    <t>Krhanice</t>
  </si>
  <si>
    <t>BNG549</t>
  </si>
  <si>
    <t>Struhařov 59</t>
  </si>
  <si>
    <t>Struhařov u Benešova</t>
  </si>
  <si>
    <t>BNG550</t>
  </si>
  <si>
    <t>Obecní knihovna v Přestavlkách u Čerčan</t>
  </si>
  <si>
    <t>Přestavlky u Čerčan 48</t>
  </si>
  <si>
    <t>Přestavlky u Čerčan</t>
  </si>
  <si>
    <t>BNG551</t>
  </si>
  <si>
    <t>Obecní knihovna ve Veliši</t>
  </si>
  <si>
    <t>Veliš 1</t>
  </si>
  <si>
    <t>Veliš</t>
  </si>
  <si>
    <t>BNG552</t>
  </si>
  <si>
    <t>Obecní knihovna v Radošovicích</t>
  </si>
  <si>
    <t>Radošovice 14</t>
  </si>
  <si>
    <t>Radošovice</t>
  </si>
  <si>
    <t>BNG554</t>
  </si>
  <si>
    <t>Obecní knihovna v Kuňovicích</t>
  </si>
  <si>
    <t>Kuňovice 8</t>
  </si>
  <si>
    <t>Kuňovice</t>
  </si>
  <si>
    <t>BNG561</t>
  </si>
  <si>
    <t>Obecní knihovna v Chlebích</t>
  </si>
  <si>
    <t>Chleby 4</t>
  </si>
  <si>
    <t>Chleby</t>
  </si>
  <si>
    <t>BNG562</t>
  </si>
  <si>
    <t>Obecní knihovna Kamberk</t>
  </si>
  <si>
    <t>Kamberk 71</t>
  </si>
  <si>
    <t>Kamberk</t>
  </si>
  <si>
    <t>BNG563</t>
  </si>
  <si>
    <t>Obecní knihovna Heřmaničky</t>
  </si>
  <si>
    <t>Heřmaničky 28</t>
  </si>
  <si>
    <t>Heřmaničky</t>
  </si>
  <si>
    <t>BNG566</t>
  </si>
  <si>
    <t>Obecní knihovna v Křečovicích</t>
  </si>
  <si>
    <t>Křečovice 9</t>
  </si>
  <si>
    <t>Křečovice</t>
  </si>
  <si>
    <t>BNG567</t>
  </si>
  <si>
    <t>Obecní knihovna v Pyšelích</t>
  </si>
  <si>
    <t>Pražská 168</t>
  </si>
  <si>
    <t>Pyšely</t>
  </si>
  <si>
    <t>BNG568</t>
  </si>
  <si>
    <t>Obecní knihovna Louňovice pod Blaníkem</t>
  </si>
  <si>
    <t>J. Žižky 16</t>
  </si>
  <si>
    <t>Louňovice pod Blaníkem</t>
  </si>
  <si>
    <t>BNG570</t>
  </si>
  <si>
    <t>Obecní knihovna v Olbramovicích</t>
  </si>
  <si>
    <t>Olbramovice 135</t>
  </si>
  <si>
    <t>Olbramovice</t>
  </si>
  <si>
    <t>BNG576</t>
  </si>
  <si>
    <t>Místní knihovna ve Zbořeném Kostelci</t>
  </si>
  <si>
    <t>Zbořený Kostelec</t>
  </si>
  <si>
    <t>BOA001</t>
  </si>
  <si>
    <t>Moravská zemská knihovna v Brně</t>
  </si>
  <si>
    <t>Kounicova 65a</t>
  </si>
  <si>
    <t>Brno</t>
  </si>
  <si>
    <t>BOD001</t>
  </si>
  <si>
    <t>Masarykova univerzita - Filozofická fakulta - Ústřední knihovna</t>
  </si>
  <si>
    <t>A. Nováka 1</t>
  </si>
  <si>
    <t>BOD003</t>
  </si>
  <si>
    <t>Masarykova univerzita - Pedagogická fakulta - Ústřední knihovna</t>
  </si>
  <si>
    <t>Poříčí 31a</t>
  </si>
  <si>
    <t>BOD005</t>
  </si>
  <si>
    <t>Janáčkova akademie múzických umění v Brně - Knihovna</t>
  </si>
  <si>
    <t>Novobranská 3</t>
  </si>
  <si>
    <t>BOD008</t>
  </si>
  <si>
    <t>Veterinární a farmaceutická univerzita Brno - Studijní a informační středisko - Univerzitní knihovna</t>
  </si>
  <si>
    <t>Palackého tř. 1946/1</t>
  </si>
  <si>
    <t>BOD022</t>
  </si>
  <si>
    <t>Masarykova univerzita - Ekonomicko-správní fakulta - Středisko vědeckých informací</t>
  </si>
  <si>
    <t>Lipová 41a</t>
  </si>
  <si>
    <t>Pouze přílohy k jazykovým učebnicím</t>
  </si>
  <si>
    <t>BOD024</t>
  </si>
  <si>
    <t>Vysoké učení technické v Brně - Knihovna Fakulty výtvarných umění</t>
  </si>
  <si>
    <t>Údolní 244/53</t>
  </si>
  <si>
    <t>BOD031</t>
  </si>
  <si>
    <t>Masarykova univerzita - Fakulta sociálních studií - Ústřední knihovna</t>
  </si>
  <si>
    <t>Joštova 10</t>
  </si>
  <si>
    <t>BOD034</t>
  </si>
  <si>
    <t>Masarykova univerzita - Knihovna univerzitního kampusu</t>
  </si>
  <si>
    <t>Kamenice 753/5</t>
  </si>
  <si>
    <t>BOE453</t>
  </si>
  <si>
    <t>Židovská obec Brno - Knihovna</t>
  </si>
  <si>
    <t>tř. Kpt. Jaroše 3</t>
  </si>
  <si>
    <t>BOG001</t>
  </si>
  <si>
    <t>Knihovna Jiřího Mahena v Brně,příspěvková organizace</t>
  </si>
  <si>
    <t>Kobližná 4</t>
  </si>
  <si>
    <t>BOG502</t>
  </si>
  <si>
    <t>Městská knihovna Tišnov</t>
  </si>
  <si>
    <t>Brněnská 475</t>
  </si>
  <si>
    <t>Tišnov</t>
  </si>
  <si>
    <t>BOG503</t>
  </si>
  <si>
    <t>Městská knihovna v Modřicích</t>
  </si>
  <si>
    <t>nám. Svobody 93</t>
  </si>
  <si>
    <t>Modřice</t>
  </si>
  <si>
    <t>BOG504</t>
  </si>
  <si>
    <t>Tovární 1</t>
  </si>
  <si>
    <t>Dolní Kounice</t>
  </si>
  <si>
    <t>CD půjčujeme Bezplatně, a to pouze v knihovně. Absenčně - tedy domů, CD nepůjčujeme!</t>
  </si>
  <si>
    <t>BOG505</t>
  </si>
  <si>
    <t>Městská knihovna Kuřim</t>
  </si>
  <si>
    <t>Popkova 1006</t>
  </si>
  <si>
    <t>Kuřim</t>
  </si>
  <si>
    <t>BOG506</t>
  </si>
  <si>
    <t>Nádražní 232</t>
  </si>
  <si>
    <t>Židlochovice</t>
  </si>
  <si>
    <t>BOG508</t>
  </si>
  <si>
    <t>Městská Jiráskova knihovna</t>
  </si>
  <si>
    <t>Nádražní 170</t>
  </si>
  <si>
    <t>Újezd u Brna</t>
  </si>
  <si>
    <t>BOG510</t>
  </si>
  <si>
    <t>Městská knihovna Šlapanice</t>
  </si>
  <si>
    <t>Masarykovo nám. 6</t>
  </si>
  <si>
    <t>Šlapanice</t>
  </si>
  <si>
    <t>BOG513</t>
  </si>
  <si>
    <t>Městská knihovna v Rosicích</t>
  </si>
  <si>
    <t>Žerotínovo nám. 1</t>
  </si>
  <si>
    <t>Rosice u Brna</t>
  </si>
  <si>
    <t>BOG514</t>
  </si>
  <si>
    <t>Hlavní 21</t>
  </si>
  <si>
    <t>Oslavany</t>
  </si>
  <si>
    <t>BOG515</t>
  </si>
  <si>
    <t>Obecní knihovna v Zastávce</t>
  </si>
  <si>
    <t>U Školy 440</t>
  </si>
  <si>
    <t>Zastávka u Brna</t>
  </si>
  <si>
    <t>BOG516</t>
  </si>
  <si>
    <t>Mjr. Nováka 7</t>
  </si>
  <si>
    <t>Ivančice</t>
  </si>
  <si>
    <t>BOG519</t>
  </si>
  <si>
    <t>Obecní knihovna Ořechov</t>
  </si>
  <si>
    <t>Komenského 4</t>
  </si>
  <si>
    <t>Ořechov u Brna</t>
  </si>
  <si>
    <t>BOG520</t>
  </si>
  <si>
    <t>Masarykova 459</t>
  </si>
  <si>
    <t>Rajhrad</t>
  </si>
  <si>
    <t>BOG521</t>
  </si>
  <si>
    <t>Jiřího z Poděbrad 163</t>
  </si>
  <si>
    <t>Hrušovany u Brna</t>
  </si>
  <si>
    <t>BOG552</t>
  </si>
  <si>
    <t>Místní lidová knihovna Moravany</t>
  </si>
  <si>
    <t>Vnitřní 379/24</t>
  </si>
  <si>
    <t>Moravany</t>
  </si>
  <si>
    <t>BOG570</t>
  </si>
  <si>
    <t>Obecní knihovna Těšany</t>
  </si>
  <si>
    <t>Těšany 305</t>
  </si>
  <si>
    <t>Těšany</t>
  </si>
  <si>
    <t>BOG632</t>
  </si>
  <si>
    <t>Obecní knihovna Hradčany</t>
  </si>
  <si>
    <t>Tišnovská 131</t>
  </si>
  <si>
    <t>Hradčany</t>
  </si>
  <si>
    <t>BRE701</t>
  </si>
  <si>
    <t>Sdružené zdravotnické zařízení Krnov, p.o. - Lékařská knihovna</t>
  </si>
  <si>
    <t>I.P. Pavlova 9</t>
  </si>
  <si>
    <t>Krnov</t>
  </si>
  <si>
    <t>Moravskoslezský</t>
  </si>
  <si>
    <t>BRG001</t>
  </si>
  <si>
    <t>Městská knihovna Bruntál</t>
  </si>
  <si>
    <t>Školní 2</t>
  </si>
  <si>
    <t>Bruntál</t>
  </si>
  <si>
    <t>BRG501</t>
  </si>
  <si>
    <t>Městská knihovna Rýmařov</t>
  </si>
  <si>
    <t>Sokolovská 25</t>
  </si>
  <si>
    <t>Rýmařov</t>
  </si>
  <si>
    <t>BRG502</t>
  </si>
  <si>
    <t>Městská knihovna Vrbno pod Pradědem</t>
  </si>
  <si>
    <t>Sadová 312</t>
  </si>
  <si>
    <t>Vrbno pod Pradědem</t>
  </si>
  <si>
    <t>BRG503</t>
  </si>
  <si>
    <t>Soukenická 29</t>
  </si>
  <si>
    <t>BRG506</t>
  </si>
  <si>
    <t>Městská knihovna a informační centrum Moravský Beroun</t>
  </si>
  <si>
    <t>Nádražní 373</t>
  </si>
  <si>
    <t>Moravský Beroun</t>
  </si>
  <si>
    <t>Olomoucký</t>
  </si>
  <si>
    <t>BRG507</t>
  </si>
  <si>
    <t>Informační centrum a městská knihovna</t>
  </si>
  <si>
    <t>Masarykova 32</t>
  </si>
  <si>
    <t>Horní Benešov</t>
  </si>
  <si>
    <t>BVG001</t>
  </si>
  <si>
    <t>Městská knihovna, příspěvková organizace</t>
  </si>
  <si>
    <t>Národních hrdinů 9</t>
  </si>
  <si>
    <t>Břeclav</t>
  </si>
  <si>
    <t>BVG501</t>
  </si>
  <si>
    <t>Nádražní 20/182</t>
  </si>
  <si>
    <t>Hustopeče</t>
  </si>
  <si>
    <t>BVG503</t>
  </si>
  <si>
    <t>Fabian 1215</t>
  </si>
  <si>
    <t>Velké Bílovice</t>
  </si>
  <si>
    <t>Půjčují pouze zvukové knihy pro zdravotně postižené</t>
  </si>
  <si>
    <t>BVG507</t>
  </si>
  <si>
    <t>Městská knihovna Lanžhot</t>
  </si>
  <si>
    <t>Náměstí 177</t>
  </si>
  <si>
    <t>Lanžhot</t>
  </si>
  <si>
    <t>BVG514</t>
  </si>
  <si>
    <t>Brněnská 15</t>
  </si>
  <si>
    <t>Mikulov</t>
  </si>
  <si>
    <t>BVG528</t>
  </si>
  <si>
    <t>Místní lidová knihovna</t>
  </si>
  <si>
    <t>Křepice 336</t>
  </si>
  <si>
    <t>Křepice</t>
  </si>
  <si>
    <t>BVG567</t>
  </si>
  <si>
    <t>Obecní knihovna Moravský Žižkov</t>
  </si>
  <si>
    <t>Moravský Žižkov 222</t>
  </si>
  <si>
    <t>Moravský Žižkov</t>
  </si>
  <si>
    <t>CBA001</t>
  </si>
  <si>
    <t>Jihočeská vědecká knihovna v Českých Budějovicích</t>
  </si>
  <si>
    <t>Na Sadech 27</t>
  </si>
  <si>
    <t>České Budějovice</t>
  </si>
  <si>
    <t>Jihočeský</t>
  </si>
  <si>
    <t>CBB001</t>
  </si>
  <si>
    <t>Biologické centrum AV CR, v. v. i. - Knihovna biologických pracovišť</t>
  </si>
  <si>
    <t>Branišovská 31b</t>
  </si>
  <si>
    <t>CBD007</t>
  </si>
  <si>
    <t>Jihočeská univerzita v Českých Budějovicích - Akademická knihovna</t>
  </si>
  <si>
    <t>CBG003</t>
  </si>
  <si>
    <t>Místní knihovna v Heřmani</t>
  </si>
  <si>
    <t>Heřmaň 43</t>
  </si>
  <si>
    <t>Heřmaň</t>
  </si>
  <si>
    <t>CBG006</t>
  </si>
  <si>
    <t>Obecní knihovna v Nedabyli</t>
  </si>
  <si>
    <t>Nedabyle 15</t>
  </si>
  <si>
    <t>Nedabyle</t>
  </si>
  <si>
    <t>CBG501</t>
  </si>
  <si>
    <t>Knihovna Augustina Dubenského</t>
  </si>
  <si>
    <t>Žižkovo nám. 1 - Zámek</t>
  </si>
  <si>
    <t>Borovany</t>
  </si>
  <si>
    <t>CBG502</t>
  </si>
  <si>
    <t>Městská knihovna Hluboká nad Vltavou</t>
  </si>
  <si>
    <t>Masarykova 1</t>
  </si>
  <si>
    <t>Hluboká nad Vltavou</t>
  </si>
  <si>
    <t>CBG503</t>
  </si>
  <si>
    <t>Místní knihovna Ledenice</t>
  </si>
  <si>
    <t>Školní 588</t>
  </si>
  <si>
    <t>Ledenice</t>
  </si>
  <si>
    <t>CBG505</t>
  </si>
  <si>
    <t>Nám. Jiráskovo 2</t>
  </si>
  <si>
    <t>Dolní Bukovsko</t>
  </si>
  <si>
    <t>CBG506</t>
  </si>
  <si>
    <t>Městská knihovna v Týně nad Vltavou</t>
  </si>
  <si>
    <t>nám. Míru 1</t>
  </si>
  <si>
    <t>Týn nad Vltavou</t>
  </si>
  <si>
    <t>CBG507</t>
  </si>
  <si>
    <t>Adamovská 13</t>
  </si>
  <si>
    <t>Rudolfov</t>
  </si>
  <si>
    <t>CBG510</t>
  </si>
  <si>
    <t>tř. 5.května 129</t>
  </si>
  <si>
    <t>Lišov</t>
  </si>
  <si>
    <t>CBG511</t>
  </si>
  <si>
    <t>Dolní náměstí 759</t>
  </si>
  <si>
    <t>Zliv</t>
  </si>
  <si>
    <t>CBG512</t>
  </si>
  <si>
    <t>Česká 79</t>
  </si>
  <si>
    <t>Nové Hrady</t>
  </si>
  <si>
    <t>CBG513</t>
  </si>
  <si>
    <t>Dubné 60</t>
  </si>
  <si>
    <t>Dubné</t>
  </si>
  <si>
    <t>Půjčuje zvukové záznamy též z výměnných souborů</t>
  </si>
  <si>
    <t>CBG514</t>
  </si>
  <si>
    <t>Obecní knihovna Kamenný Újezd</t>
  </si>
  <si>
    <t>Náměstí 67</t>
  </si>
  <si>
    <t>Kamenný Újezd</t>
  </si>
  <si>
    <t>CBG515</t>
  </si>
  <si>
    <t>Obecní knihovna Včelná</t>
  </si>
  <si>
    <t>Husova 212</t>
  </si>
  <si>
    <t>Včelná</t>
  </si>
  <si>
    <t>CBG519</t>
  </si>
  <si>
    <t>Obecní knihovna v Dyníně</t>
  </si>
  <si>
    <t>Dynín 48</t>
  </si>
  <si>
    <t>Dynín</t>
  </si>
  <si>
    <t>CBG520</t>
  </si>
  <si>
    <t>Obecní knihovna v Mydlovarech</t>
  </si>
  <si>
    <t>Mydlovary 61</t>
  </si>
  <si>
    <t>Mydlovary</t>
  </si>
  <si>
    <t>CBG537</t>
  </si>
  <si>
    <t>Obecní knihovna v Dobré Vodě u Českých Budějovic</t>
  </si>
  <si>
    <t>Lázeňská 42</t>
  </si>
  <si>
    <t>Dobrá Voda</t>
  </si>
  <si>
    <t>CBG551</t>
  </si>
  <si>
    <t>Obecní knihovna Pištín</t>
  </si>
  <si>
    <t>Pištín 33</t>
  </si>
  <si>
    <t>Pištín</t>
  </si>
  <si>
    <t>CBG569</t>
  </si>
  <si>
    <t>Obecní knihovna v Boršově nad Vltavou</t>
  </si>
  <si>
    <t>Obecní 52</t>
  </si>
  <si>
    <t>Boršov nad Vltavou</t>
  </si>
  <si>
    <t>CBG576</t>
  </si>
  <si>
    <t>Obecní knihovna ve Dřítni</t>
  </si>
  <si>
    <t>Dříteň 152</t>
  </si>
  <si>
    <t>Dříteň</t>
  </si>
  <si>
    <t>Zvukové záznamy půjčuje pouze pobočka Chvalešovice</t>
  </si>
  <si>
    <t>CHE702</t>
  </si>
  <si>
    <t>Městská knihovna Františkovy Lázně</t>
  </si>
  <si>
    <t>Dlouhá 181/6</t>
  </si>
  <si>
    <t>Františkovy Lázně</t>
  </si>
  <si>
    <t>Karlovarský</t>
  </si>
  <si>
    <t>CHG001</t>
  </si>
  <si>
    <t>Městská knihovna v Chebu, příspěvková organizace</t>
  </si>
  <si>
    <t>Obrněné brigády 1</t>
  </si>
  <si>
    <t>Cheb</t>
  </si>
  <si>
    <t>Pro zrakově handicapované</t>
  </si>
  <si>
    <t>CHG501</t>
  </si>
  <si>
    <t>Městská knihovna Mariánské Lázně</t>
  </si>
  <si>
    <t>Hlavní 370/3</t>
  </si>
  <si>
    <t>Mariánské Lázně</t>
  </si>
  <si>
    <t>CHG505</t>
  </si>
  <si>
    <t>Knihovna, Muzeum a Informační centrum Aš</t>
  </si>
  <si>
    <t>Hlavní 23</t>
  </si>
  <si>
    <t>Aš</t>
  </si>
  <si>
    <t>CHG516</t>
  </si>
  <si>
    <t>Obecní knihovna v Třebeni</t>
  </si>
  <si>
    <t>Třebeň 31</t>
  </si>
  <si>
    <t>Třebeň</t>
  </si>
  <si>
    <t>CKG001</t>
  </si>
  <si>
    <t>Městská knihovna v Českém Krumlově</t>
  </si>
  <si>
    <t>Horní 155</t>
  </si>
  <si>
    <t>Český Krumlov</t>
  </si>
  <si>
    <t>Zvukové dokumenty budou půjčovány pouze zrakově handicapovaným uživatelům</t>
  </si>
  <si>
    <t>CKG002</t>
  </si>
  <si>
    <t>Obecní knihovna v Přídolí</t>
  </si>
  <si>
    <t>Přídolí 2</t>
  </si>
  <si>
    <t>Přídolí</t>
  </si>
  <si>
    <t>CKG003</t>
  </si>
  <si>
    <t>Obecní knihovna Srnín</t>
  </si>
  <si>
    <t>Srnín</t>
  </si>
  <si>
    <t>CKG501</t>
  </si>
  <si>
    <t>Městská knihovna Kaplice</t>
  </si>
  <si>
    <t>Linecká 305</t>
  </si>
  <si>
    <t>Kaplice</t>
  </si>
  <si>
    <t>Půjčuje v pob. Blansko z výměnných fondů</t>
  </si>
  <si>
    <t>CKG502</t>
  </si>
  <si>
    <t>Knihovna městyse Frymburk</t>
  </si>
  <si>
    <t>Frymburk nad Vltavou</t>
  </si>
  <si>
    <t>CKG503</t>
  </si>
  <si>
    <t>Náměstí 8</t>
  </si>
  <si>
    <t>Horní Planá</t>
  </si>
  <si>
    <t>CKG504</t>
  </si>
  <si>
    <t>Městská knihovna Vyšší Brod</t>
  </si>
  <si>
    <t>Míru 250</t>
  </si>
  <si>
    <t>Vyšší Brod</t>
  </si>
  <si>
    <t>CKG505</t>
  </si>
  <si>
    <t>Knihovna městyse Křemže</t>
  </si>
  <si>
    <t>Školní 320</t>
  </si>
  <si>
    <t>Křemže</t>
  </si>
  <si>
    <t>CKG506</t>
  </si>
  <si>
    <t>Městská knihovna Velešín</t>
  </si>
  <si>
    <t>Družstevní 340</t>
  </si>
  <si>
    <t>Velešín</t>
  </si>
  <si>
    <t>CKG507</t>
  </si>
  <si>
    <t>Obecní knihovna Loučovice</t>
  </si>
  <si>
    <t>Loučovice 279</t>
  </si>
  <si>
    <t>Loučovice</t>
  </si>
  <si>
    <t>CKG508</t>
  </si>
  <si>
    <t>Brloh č.p. 23</t>
  </si>
  <si>
    <t>Brloh</t>
  </si>
  <si>
    <t>CKG509</t>
  </si>
  <si>
    <t>Chvalšiny 37</t>
  </si>
  <si>
    <t>Chvalšiny</t>
  </si>
  <si>
    <t>CKG510</t>
  </si>
  <si>
    <t>Dolní Dvořiště 62</t>
  </si>
  <si>
    <t>Dolní Dvořiště</t>
  </si>
  <si>
    <t>CKG511</t>
  </si>
  <si>
    <t>Městská knihovna Větřní</t>
  </si>
  <si>
    <t>Školní 296</t>
  </si>
  <si>
    <t>Větřní</t>
  </si>
  <si>
    <t>CKG512</t>
  </si>
  <si>
    <t>Obecní knihovna Benešov nad Černou</t>
  </si>
  <si>
    <t>Náměstí 125</t>
  </si>
  <si>
    <t>Benešov nad Černou</t>
  </si>
  <si>
    <t>CKG513</t>
  </si>
  <si>
    <t>Obecní knihovna Dolní Třebonín</t>
  </si>
  <si>
    <t>Dolní Třebonín 6</t>
  </si>
  <si>
    <t>Dolní Třebonín</t>
  </si>
  <si>
    <t>CKG515</t>
  </si>
  <si>
    <t>Obecní knihovna v Horním Dvořišti</t>
  </si>
  <si>
    <t>Horní Dvořiště 26</t>
  </si>
  <si>
    <t>Horní Dvořiště</t>
  </si>
  <si>
    <t>CKG518</t>
  </si>
  <si>
    <t>Obecní knihovna v Netřebicích</t>
  </si>
  <si>
    <t>Netřebice</t>
  </si>
  <si>
    <t>CKG519</t>
  </si>
  <si>
    <t>Obecní knihovna v Zubčicích</t>
  </si>
  <si>
    <t>Zubčice</t>
  </si>
  <si>
    <t>CKG520</t>
  </si>
  <si>
    <t>Obecní knihovna v Kájově</t>
  </si>
  <si>
    <t>Kájov</t>
  </si>
  <si>
    <t>CKG521</t>
  </si>
  <si>
    <t>Obecní knihovna Soběnov</t>
  </si>
  <si>
    <t>Soběnov</t>
  </si>
  <si>
    <t>CKG522</t>
  </si>
  <si>
    <t>Obecní knihovna v Černé v Pošumaví</t>
  </si>
  <si>
    <t>Černá v Pošumaví 21</t>
  </si>
  <si>
    <t>Černá v Pošumaví</t>
  </si>
  <si>
    <t>CKG524</t>
  </si>
  <si>
    <t>Knihovna městyse Besednice</t>
  </si>
  <si>
    <t>Náměstí 52</t>
  </si>
  <si>
    <t>Besednice</t>
  </si>
  <si>
    <t>CKG526</t>
  </si>
  <si>
    <t>Obecní knihovna Světlík</t>
  </si>
  <si>
    <t>Světlík 27</t>
  </si>
  <si>
    <t>Světlík</t>
  </si>
  <si>
    <t>CKG527</t>
  </si>
  <si>
    <t>Obecní knihovna Omlenice</t>
  </si>
  <si>
    <t>Omlenice</t>
  </si>
  <si>
    <t>CKG528</t>
  </si>
  <si>
    <t>Městská knihovna Rožmberk nad Vtavou</t>
  </si>
  <si>
    <t>Rožmberk nad Vltavou 2</t>
  </si>
  <si>
    <t>Rožmberk nad Vltavou</t>
  </si>
  <si>
    <t>CKG529</t>
  </si>
  <si>
    <t>Obecní knihovna v Lipně nad Vltavou</t>
  </si>
  <si>
    <t>Lipno nad Vltavou</t>
  </si>
  <si>
    <t>CKG531</t>
  </si>
  <si>
    <t>Obecní knihovna Rožmitál na Šumavě</t>
  </si>
  <si>
    <t>Rožmitál nad Šumavě</t>
  </si>
  <si>
    <t>Rožmitál na Šumavě</t>
  </si>
  <si>
    <t>CKG534</t>
  </si>
  <si>
    <t>Obecní knihovna Holubov</t>
  </si>
  <si>
    <t>Holubov</t>
  </si>
  <si>
    <t>CKG535</t>
  </si>
  <si>
    <t>Obecní knihovna Zlatá Koruna</t>
  </si>
  <si>
    <t>Zlatá Koruna 41</t>
  </si>
  <si>
    <t>Zlatá Koruna</t>
  </si>
  <si>
    <t>CKG536</t>
  </si>
  <si>
    <t>Nová Ves 68</t>
  </si>
  <si>
    <t>CKG538</t>
  </si>
  <si>
    <t>Obecní knihovna Bujanov</t>
  </si>
  <si>
    <t>Bujanov</t>
  </si>
  <si>
    <t>CLE201</t>
  </si>
  <si>
    <t>Nemocnice s poliklinikou Česká Lípa, a.s. - Lékařská knihovna</t>
  </si>
  <si>
    <t>Purkyňova 1849</t>
  </si>
  <si>
    <t>Česká Lípa</t>
  </si>
  <si>
    <t>Liberecký</t>
  </si>
  <si>
    <t>CLG001</t>
  </si>
  <si>
    <t>Městská knihovna Česká Lípa</t>
  </si>
  <si>
    <t>nám. T.G. Masaryka 170</t>
  </si>
  <si>
    <t>CLG501</t>
  </si>
  <si>
    <t>Jiráskova 95</t>
  </si>
  <si>
    <t>Cvikov</t>
  </si>
  <si>
    <t>CLG503</t>
  </si>
  <si>
    <t>Valdštejnská 251</t>
  </si>
  <si>
    <t>Doksy</t>
  </si>
  <si>
    <t>CLG506</t>
  </si>
  <si>
    <t>Náměstí Míru 23</t>
  </si>
  <si>
    <t>Jablonné v Podještědí</t>
  </si>
  <si>
    <t>Chrudim</t>
  </si>
  <si>
    <t>Pardubický</t>
  </si>
  <si>
    <t>CRG001</t>
  </si>
  <si>
    <t>Filištínská 36</t>
  </si>
  <si>
    <t>CRG301</t>
  </si>
  <si>
    <t>Střední průmyslová škola Chrudim - Technická knihovna</t>
  </si>
  <si>
    <t>Čáslavská 973</t>
  </si>
  <si>
    <t>CRG505</t>
  </si>
  <si>
    <t>Městská knihovna Skuteč</t>
  </si>
  <si>
    <t>Smetanova 254</t>
  </si>
  <si>
    <t>Skuteč</t>
  </si>
  <si>
    <t>CRG512</t>
  </si>
  <si>
    <t>ul. 1.máje 56</t>
  </si>
  <si>
    <t>Třemošnice</t>
  </si>
  <si>
    <t>CVG001</t>
  </si>
  <si>
    <t>Středisko knihovnických a kulturních služeb</t>
  </si>
  <si>
    <t>Palackého 4995/85</t>
  </si>
  <si>
    <t>Chomutov</t>
  </si>
  <si>
    <t>Ústecký</t>
  </si>
  <si>
    <t>CVG501</t>
  </si>
  <si>
    <t>Zámek Klášterec nad Ohří přísp. org. - středisko městská knihovna</t>
  </si>
  <si>
    <t>Budovatelská 486</t>
  </si>
  <si>
    <t>Klášterec nad Ohří</t>
  </si>
  <si>
    <t>CVG507</t>
  </si>
  <si>
    <t>Kulturní, vzdělávací a informační zařízení Jirkov, příspěvková organizace - Městská knihovna</t>
  </si>
  <si>
    <t>Vinařická 363</t>
  </si>
  <si>
    <t>Jirkov</t>
  </si>
  <si>
    <t>DCG302</t>
  </si>
  <si>
    <t>Městská knihovna Děčín, příspěvková organizace</t>
  </si>
  <si>
    <t>Karla Čapka 1441/3</t>
  </si>
  <si>
    <t>Děčín</t>
  </si>
  <si>
    <t>DCG501</t>
  </si>
  <si>
    <t>Městská knihovna Varnsdorf, příspěvková organizace</t>
  </si>
  <si>
    <t>Otáhalova 1260</t>
  </si>
  <si>
    <t>Varnsdorf</t>
  </si>
  <si>
    <t>DCG502</t>
  </si>
  <si>
    <t>Městská knihovna Velký Šenov</t>
  </si>
  <si>
    <t>Šluknovská 422</t>
  </si>
  <si>
    <t>Velký Šenov</t>
  </si>
  <si>
    <t>DCG503</t>
  </si>
  <si>
    <t>Městská knihovna Rumburk</t>
  </si>
  <si>
    <t>tř. 9.května 150/29</t>
  </si>
  <si>
    <t>Rumburk</t>
  </si>
  <si>
    <t>DCG504</t>
  </si>
  <si>
    <t>Městská knihovna Šluknov</t>
  </si>
  <si>
    <t>T.G. Masaryka 638</t>
  </si>
  <si>
    <t>Šluknov</t>
  </si>
  <si>
    <t>DCG509</t>
  </si>
  <si>
    <t>Místní lidová knihovna v Rybništi</t>
  </si>
  <si>
    <t>Rybniště 33</t>
  </si>
  <si>
    <t>Rybniště</t>
  </si>
  <si>
    <t>DCG512</t>
  </si>
  <si>
    <t>Obecní veřejná knihovna Vilémov</t>
  </si>
  <si>
    <t>Vilémov 172</t>
  </si>
  <si>
    <t>Vilémov</t>
  </si>
  <si>
    <t>DCG513</t>
  </si>
  <si>
    <t>Obecní knihovna Jiřetín pod Jedlovou</t>
  </si>
  <si>
    <t>Vinařská 32</t>
  </si>
  <si>
    <t>Jiřetín pod Jedlovou</t>
  </si>
  <si>
    <t>DCG514</t>
  </si>
  <si>
    <t>Obecní knihovna v Chřibské</t>
  </si>
  <si>
    <t>Chřibská 197</t>
  </si>
  <si>
    <t>Chřibská</t>
  </si>
  <si>
    <t>DCG516</t>
  </si>
  <si>
    <t>Městská knihovna v Krásné Lípě</t>
  </si>
  <si>
    <t>Masarykova 1094/4</t>
  </si>
  <si>
    <t>Krásná Lípa</t>
  </si>
  <si>
    <t>DCG523</t>
  </si>
  <si>
    <t>Městská knihovna Dolní Poustevna</t>
  </si>
  <si>
    <t>Tyršova 299</t>
  </si>
  <si>
    <t>Dolní Pustevna</t>
  </si>
  <si>
    <t>DCG524</t>
  </si>
  <si>
    <t>Městská knihovna v Jiříkově</t>
  </si>
  <si>
    <t>Filipovská 680</t>
  </si>
  <si>
    <t>Jiříkov</t>
  </si>
  <si>
    <t>Pobočka Filipov</t>
  </si>
  <si>
    <t>DCG525</t>
  </si>
  <si>
    <t>Obecní knihovna v Horní Podluží</t>
  </si>
  <si>
    <t>Horní Podluží 205</t>
  </si>
  <si>
    <t>Horní Podluží</t>
  </si>
  <si>
    <t>DCG532</t>
  </si>
  <si>
    <t>Obecní knihovna Staré Křečany</t>
  </si>
  <si>
    <t>Staré Křečany 44</t>
  </si>
  <si>
    <t>Staré Křečany</t>
  </si>
  <si>
    <t>DCG534</t>
  </si>
  <si>
    <t>Obecní knihovna v Doubici</t>
  </si>
  <si>
    <t>Doubice 50</t>
  </si>
  <si>
    <t>Doubice</t>
  </si>
  <si>
    <t>DCG535</t>
  </si>
  <si>
    <t>Knihovna Městského úřadu Mikulášovice</t>
  </si>
  <si>
    <t>Mikulášovice 19</t>
  </si>
  <si>
    <t>Mikulášovice</t>
  </si>
  <si>
    <t>DCG538</t>
  </si>
  <si>
    <t>Obecní knihovna v Lipové</t>
  </si>
  <si>
    <t>Lipová 422</t>
  </si>
  <si>
    <t>Lipová</t>
  </si>
  <si>
    <t>DCG541</t>
  </si>
  <si>
    <t>Obecní knihovna v Dolním Podluží</t>
  </si>
  <si>
    <t>Dolní Podluží 6</t>
  </si>
  <si>
    <t>Dolní Podluží</t>
  </si>
  <si>
    <t>DOG001</t>
  </si>
  <si>
    <t>Městská knihovna Boženy Němcové Domažlice</t>
  </si>
  <si>
    <t>B. Němcové 118</t>
  </si>
  <si>
    <t>Domažlice</t>
  </si>
  <si>
    <t>Plzeňský</t>
  </si>
  <si>
    <t>DOG509</t>
  </si>
  <si>
    <t>Místní knihovna Klenčí pod Čerchovem</t>
  </si>
  <si>
    <t>Klenčí pod Čerchovem 330</t>
  </si>
  <si>
    <t>Klenčí pod Čerchovem</t>
  </si>
  <si>
    <t>Frýdek-Místek</t>
  </si>
  <si>
    <t>FMG501</t>
  </si>
  <si>
    <t>Městská knihovna Vratimov</t>
  </si>
  <si>
    <t>Frýdecká 1000/48</t>
  </si>
  <si>
    <t>Vratimov</t>
  </si>
  <si>
    <t>FMG502</t>
  </si>
  <si>
    <t>Knihovna Třinec, p. o.</t>
  </si>
  <si>
    <t>Lidická 541</t>
  </si>
  <si>
    <t>Třinec</t>
  </si>
  <si>
    <t>FMG503</t>
  </si>
  <si>
    <t>Místní knihovna Bystřice nad Olší</t>
  </si>
  <si>
    <t>Bystřice 848</t>
  </si>
  <si>
    <t>Bystřice nad Olší</t>
  </si>
  <si>
    <t>FMG504</t>
  </si>
  <si>
    <t>Kulturní centrum Frýdlant nad Ostravicí, p.o.</t>
  </si>
  <si>
    <t>Hlavní 1755</t>
  </si>
  <si>
    <t>Frýdlant nad Ostravicí</t>
  </si>
  <si>
    <t>FMG505</t>
  </si>
  <si>
    <t>Jablunkovské centrum kultury a informací, p.o.</t>
  </si>
  <si>
    <t>Školní 389</t>
  </si>
  <si>
    <t>Jablunkov</t>
  </si>
  <si>
    <t>FMG506</t>
  </si>
  <si>
    <t>Knihovna Hnojník</t>
  </si>
  <si>
    <t>Hnojník 222</t>
  </si>
  <si>
    <t>Hnojník</t>
  </si>
  <si>
    <t>Půjčujeme zvukové záznamy též z výměnných souborů</t>
  </si>
  <si>
    <t>FMG508</t>
  </si>
  <si>
    <t>Město Brušperk- městská knihovna</t>
  </si>
  <si>
    <t>K Náměstí 22</t>
  </si>
  <si>
    <t>Brušperk</t>
  </si>
  <si>
    <t>FMG510</t>
  </si>
  <si>
    <t>Místní knihovna Dobrá, příspěvková organizace</t>
  </si>
  <si>
    <t>Dobrá 230</t>
  </si>
  <si>
    <t>Dobrá</t>
  </si>
  <si>
    <t>FMG511</t>
  </si>
  <si>
    <t>Místní knihovna v Mostech u Jablunkova</t>
  </si>
  <si>
    <t>Mosty u Jablunkova 111</t>
  </si>
  <si>
    <t>Mosty u Jablunkova</t>
  </si>
  <si>
    <t>FMG512</t>
  </si>
  <si>
    <t>Místní knihovna Paskov</t>
  </si>
  <si>
    <t>Nádražní 700</t>
  </si>
  <si>
    <t>Paskov</t>
  </si>
  <si>
    <t>FMG513</t>
  </si>
  <si>
    <t>Místní knihovna v Raškovicích</t>
  </si>
  <si>
    <t>Raškovice 58</t>
  </si>
  <si>
    <t>Raškovice</t>
  </si>
  <si>
    <t>FMG515</t>
  </si>
  <si>
    <t>Místní knihovna Řepiště</t>
  </si>
  <si>
    <t>Mírová 178</t>
  </si>
  <si>
    <t>Řepiště</t>
  </si>
  <si>
    <t>FMG516</t>
  </si>
  <si>
    <t>Obecní knihovna a Informační centrum Komorní Lhotka</t>
  </si>
  <si>
    <t>Komorní Lhotka 27</t>
  </si>
  <si>
    <t>Komorní Lhotka</t>
  </si>
  <si>
    <t>FMG517</t>
  </si>
  <si>
    <t>Obecní knihovna ve Stříteži</t>
  </si>
  <si>
    <t>Střítež č.213</t>
  </si>
  <si>
    <t>Střítež</t>
  </si>
  <si>
    <t>FMG518</t>
  </si>
  <si>
    <t>Místní knihovna Třanovice</t>
  </si>
  <si>
    <t>Třanovice 92</t>
  </si>
  <si>
    <t>Třanovice</t>
  </si>
  <si>
    <t>FMG519</t>
  </si>
  <si>
    <t>Místní knihovna ve Smilovicích</t>
  </si>
  <si>
    <t>Smilovice u Třince 13</t>
  </si>
  <si>
    <t>Smilovice u Třince</t>
  </si>
  <si>
    <t>FMG521</t>
  </si>
  <si>
    <t>Obecní knihovna Vendryně</t>
  </si>
  <si>
    <t>Vendryně 464</t>
  </si>
  <si>
    <t>Vendryně</t>
  </si>
  <si>
    <t>FMG522</t>
  </si>
  <si>
    <t>Místní knihovna Horní Datyně</t>
  </si>
  <si>
    <t>U Školy 289</t>
  </si>
  <si>
    <t>Horní Datyně</t>
  </si>
  <si>
    <t>Pobočka Městské knihovny Vratimov</t>
  </si>
  <si>
    <t>FMG523</t>
  </si>
  <si>
    <t>Místní knihovna Žabeň</t>
  </si>
  <si>
    <t>Žabeň 62</t>
  </si>
  <si>
    <t>Žabeň</t>
  </si>
  <si>
    <t>FMG524</t>
  </si>
  <si>
    <t>Místní knihovna Oprechtice</t>
  </si>
  <si>
    <t>Oprechtice 26</t>
  </si>
  <si>
    <t>Oprechtice</t>
  </si>
  <si>
    <t>FMG529</t>
  </si>
  <si>
    <t>Obecní knihovna v Metylovicích</t>
  </si>
  <si>
    <t>Metylovice 495</t>
  </si>
  <si>
    <t>Metylovice</t>
  </si>
  <si>
    <t>FMG530</t>
  </si>
  <si>
    <t>Obecní knihovna - Biblioteka Gminna Ropice</t>
  </si>
  <si>
    <t>Ropice 142</t>
  </si>
  <si>
    <t>Ropice</t>
  </si>
  <si>
    <t>FMG533</t>
  </si>
  <si>
    <t>Obecní knihovna Písek</t>
  </si>
  <si>
    <t>Písek 51</t>
  </si>
  <si>
    <t>Písek</t>
  </si>
  <si>
    <t>FMG535</t>
  </si>
  <si>
    <t>Obecní knihovna Hrádek</t>
  </si>
  <si>
    <t>Hrádek 352</t>
  </si>
  <si>
    <t>Hrádek</t>
  </si>
  <si>
    <t>FMG541</t>
  </si>
  <si>
    <t>Knihovna Návsí</t>
  </si>
  <si>
    <t>Návsí 345</t>
  </si>
  <si>
    <t>Návsí</t>
  </si>
  <si>
    <t>HBG001</t>
  </si>
  <si>
    <t>Krajská knihovna Vysočiny</t>
  </si>
  <si>
    <t>Havlíčkovo nám. 87</t>
  </si>
  <si>
    <t>Havlíčkův Brod</t>
  </si>
  <si>
    <t>Vysočina</t>
  </si>
  <si>
    <t>HBG301</t>
  </si>
  <si>
    <t>Střední zdravotnická škola a Vyšší odborná škola zdravotnická Havlíčkův Brod - Školní knihovna</t>
  </si>
  <si>
    <t>Masarykova 2033</t>
  </si>
  <si>
    <t>HBG501</t>
  </si>
  <si>
    <t>Knihovna Ignáta Herrmanna a Informační centrum Chotěboř</t>
  </si>
  <si>
    <t>Krále Jana 258</t>
  </si>
  <si>
    <t>Chotěboř</t>
  </si>
  <si>
    <t>HBG503</t>
  </si>
  <si>
    <t>KyTICe - Kulturní zařízení Světlá nad Sázavou Městská knihovna</t>
  </si>
  <si>
    <t>náměstí Trčků z Lípy 16</t>
  </si>
  <si>
    <t>Světlá nad Sázavou</t>
  </si>
  <si>
    <t>HBG504</t>
  </si>
  <si>
    <t>Husovo nám. 7</t>
  </si>
  <si>
    <t>Ledeč nad Sázavou</t>
  </si>
  <si>
    <t>HBG508</t>
  </si>
  <si>
    <t>Kulturní zařízení města Přibyslavi - útvar Městská knihovna</t>
  </si>
  <si>
    <t>Bechyňovo nám. 45</t>
  </si>
  <si>
    <t>Přibyslav</t>
  </si>
  <si>
    <t>HBG558</t>
  </si>
  <si>
    <t>Místní knihovna v Olešné</t>
  </si>
  <si>
    <t>Olešná 29</t>
  </si>
  <si>
    <t>Olešná</t>
  </si>
  <si>
    <t>HKA001</t>
  </si>
  <si>
    <t>Studijní a vědecká knihovna v Hradci Králové</t>
  </si>
  <si>
    <t>Hradecká 1250/2</t>
  </si>
  <si>
    <t>Hradec Králové</t>
  </si>
  <si>
    <t>Královéhradecký</t>
  </si>
  <si>
    <t>HKC005</t>
  </si>
  <si>
    <t>Univerzita obrany Hradec Králové - Fakulta vojenského zdravotnictví - Knihovna</t>
  </si>
  <si>
    <t>Třebešská 1575</t>
  </si>
  <si>
    <t>HKG001</t>
  </si>
  <si>
    <t>Knihovna města Hradce Králové</t>
  </si>
  <si>
    <t>Wonkova 1262/1a</t>
  </si>
  <si>
    <t>Hudební oddělení, Zvuková knihovna pro nevidomé a slabozraké</t>
  </si>
  <si>
    <t>HKG503</t>
  </si>
  <si>
    <t>Městská knihovna Smiřice</t>
  </si>
  <si>
    <t>Zámek 1</t>
  </si>
  <si>
    <t>Smiřice</t>
  </si>
  <si>
    <t>HKG504</t>
  </si>
  <si>
    <t>Městská knihovna a informační centrum</t>
  </si>
  <si>
    <t>Kozelkova 26/IV</t>
  </si>
  <si>
    <t>Chlumec nad Cidlinou</t>
  </si>
  <si>
    <t>HKG507</t>
  </si>
  <si>
    <t>Místní knihovna v Černilově</t>
  </si>
  <si>
    <t>Černilov 310</t>
  </si>
  <si>
    <t>Černilov</t>
  </si>
  <si>
    <t>HOG001</t>
  </si>
  <si>
    <t>Městská knihovna Hodonín</t>
  </si>
  <si>
    <t>Národní tř. 36</t>
  </si>
  <si>
    <t>Hodonín</t>
  </si>
  <si>
    <t>HOG502</t>
  </si>
  <si>
    <t>Městská knihovna při Kulturním domě Strážničan ve Strážnici, příspěvková organizace</t>
  </si>
  <si>
    <t>Veselská 1321</t>
  </si>
  <si>
    <t>Strážnice</t>
  </si>
  <si>
    <t>HOG504</t>
  </si>
  <si>
    <t>Městská knihovna Kyjov, příspěvková organizace města Kyjova</t>
  </si>
  <si>
    <t>Komenského 617</t>
  </si>
  <si>
    <t>Kyjov</t>
  </si>
  <si>
    <t>HOG506</t>
  </si>
  <si>
    <t>Místní knihovna Ježov</t>
  </si>
  <si>
    <t>Ježov 96</t>
  </si>
  <si>
    <t>Ježov</t>
  </si>
  <si>
    <t>HOG507</t>
  </si>
  <si>
    <t>Hlavní 750</t>
  </si>
  <si>
    <t>Vnorovy</t>
  </si>
  <si>
    <t>HOG508</t>
  </si>
  <si>
    <t>Obecní knihovna Moravský Písek</t>
  </si>
  <si>
    <t>Velkomoravská 1</t>
  </si>
  <si>
    <t>Moravský Písek</t>
  </si>
  <si>
    <t>HOG509</t>
  </si>
  <si>
    <t>Hroznová Lhota 169</t>
  </si>
  <si>
    <t>Hroznová Lhota</t>
  </si>
  <si>
    <t>HOG514</t>
  </si>
  <si>
    <t>Knihovna Čejč</t>
  </si>
  <si>
    <t>Za Mlýnem 403</t>
  </si>
  <si>
    <t>Čejč</t>
  </si>
  <si>
    <t>HOG515</t>
  </si>
  <si>
    <t>Obecní knihovna Dolní Bojanovice</t>
  </si>
  <si>
    <t>Prostřední 417</t>
  </si>
  <si>
    <t>Dolní Bojanovice</t>
  </si>
  <si>
    <t>HOG517</t>
  </si>
  <si>
    <t>Bukovany 222</t>
  </si>
  <si>
    <t>HOG518</t>
  </si>
  <si>
    <t>Místní knihovna Svatobořice-Mistřín</t>
  </si>
  <si>
    <t>Hlavní 1080/111</t>
  </si>
  <si>
    <t>Svatobořice-Mistřín</t>
  </si>
  <si>
    <t>HOG519</t>
  </si>
  <si>
    <t>Obecní knihovna Ratíškovice</t>
  </si>
  <si>
    <t>Školní 321</t>
  </si>
  <si>
    <t>Ratíškovice</t>
  </si>
  <si>
    <t>HOG522</t>
  </si>
  <si>
    <t>Obecní knihovna Rohatec</t>
  </si>
  <si>
    <t>Školní 236/3</t>
  </si>
  <si>
    <t>Rohatec</t>
  </si>
  <si>
    <t>HOG525</t>
  </si>
  <si>
    <t>Místní knihovna Dambořice</t>
  </si>
  <si>
    <t>Dambořice 69</t>
  </si>
  <si>
    <t>Dambořice</t>
  </si>
  <si>
    <t>HOG527</t>
  </si>
  <si>
    <t>Místní knihovna Uhřice</t>
  </si>
  <si>
    <t>Uhřice 177</t>
  </si>
  <si>
    <t>Uhřice</t>
  </si>
  <si>
    <t>HOG528</t>
  </si>
  <si>
    <t>Obecní knihovna Žarošice</t>
  </si>
  <si>
    <t>Žarošice 50</t>
  </si>
  <si>
    <t>Žarošice</t>
  </si>
  <si>
    <t>HOG529</t>
  </si>
  <si>
    <t>Místní knihovna Vacenovice</t>
  </si>
  <si>
    <t>Vacenovice 154</t>
  </si>
  <si>
    <t>Vacenovice</t>
  </si>
  <si>
    <t>HOG531</t>
  </si>
  <si>
    <t>Obecní knihovna Čeložnice</t>
  </si>
  <si>
    <t>Čeložnice 8</t>
  </si>
  <si>
    <t>Čeložnice</t>
  </si>
  <si>
    <t>HOG532</t>
  </si>
  <si>
    <t>Obecní knihovna Hýsly</t>
  </si>
  <si>
    <t>Hýsly 100</t>
  </si>
  <si>
    <t>Hýsly</t>
  </si>
  <si>
    <t>HOG534</t>
  </si>
  <si>
    <t>Místní knihovna Moravany</t>
  </si>
  <si>
    <t>Moravany 205</t>
  </si>
  <si>
    <t>HOG537</t>
  </si>
  <si>
    <t>Obecní knihovna Sobůlky</t>
  </si>
  <si>
    <t>Sobůlky 280</t>
  </si>
  <si>
    <t>Sobůlky</t>
  </si>
  <si>
    <t>HOG538</t>
  </si>
  <si>
    <t>Obecní knihovna Stavěšice</t>
  </si>
  <si>
    <t>Stavěšice 9</t>
  </si>
  <si>
    <t>Stavěšice</t>
  </si>
  <si>
    <t>HOG541</t>
  </si>
  <si>
    <t>Místní knihovna Želetice</t>
  </si>
  <si>
    <t>Želetice 189</t>
  </si>
  <si>
    <t>Želetice</t>
  </si>
  <si>
    <t>HOG545</t>
  </si>
  <si>
    <t>Místní knihovna Žádovice</t>
  </si>
  <si>
    <t>Žádovice 41</t>
  </si>
  <si>
    <t>Žádovice</t>
  </si>
  <si>
    <t>HOG548</t>
  </si>
  <si>
    <t>Místní knihovna Mikulčice</t>
  </si>
  <si>
    <t>Mikulčice 245</t>
  </si>
  <si>
    <t>Mikulčice</t>
  </si>
  <si>
    <t>HOG549</t>
  </si>
  <si>
    <t>Obecní knihovna Starý Poddvorov</t>
  </si>
  <si>
    <t>Starý Poddvorov 230</t>
  </si>
  <si>
    <t>Starý Poddvorov</t>
  </si>
  <si>
    <t>HOG550</t>
  </si>
  <si>
    <t>Místní knihovna Tvarožná Lhota</t>
  </si>
  <si>
    <t>Tvarožná Lhota 190</t>
  </si>
  <si>
    <t>Tvarožná Lhota</t>
  </si>
  <si>
    <t>HOG552</t>
  </si>
  <si>
    <t>Obecní knihovna Radějov</t>
  </si>
  <si>
    <t>Radějov 7</t>
  </si>
  <si>
    <t>Radějov</t>
  </si>
  <si>
    <t>HOG553</t>
  </si>
  <si>
    <t>Petrov 281</t>
  </si>
  <si>
    <t>HOG554</t>
  </si>
  <si>
    <t>Místní knihovna v Blatnici pod Svatým Antonínkem</t>
  </si>
  <si>
    <t>Blatnice pod Svatým Antonínkem 28</t>
  </si>
  <si>
    <t>Blatnice pod Svatým Antonínkem</t>
  </si>
  <si>
    <t>HOG557</t>
  </si>
  <si>
    <t>Obecní knihovna Kněždub</t>
  </si>
  <si>
    <t>Kněždub 140</t>
  </si>
  <si>
    <t>Kněždub</t>
  </si>
  <si>
    <t>HOG559</t>
  </si>
  <si>
    <t>Obecní knihovna Lipov</t>
  </si>
  <si>
    <t>Lipov 382</t>
  </si>
  <si>
    <t>Lipov</t>
  </si>
  <si>
    <t>HOG563</t>
  </si>
  <si>
    <t>Místní knihovna v Suchově</t>
  </si>
  <si>
    <t>Suchov 1</t>
  </si>
  <si>
    <t>Suchov</t>
  </si>
  <si>
    <t>HOG565</t>
  </si>
  <si>
    <t>Obecní knihovna Tasov</t>
  </si>
  <si>
    <t>Tasov 89</t>
  </si>
  <si>
    <t>Tasov</t>
  </si>
  <si>
    <t>HOG567</t>
  </si>
  <si>
    <t>Obecní knihovna Javorník</t>
  </si>
  <si>
    <t>Javorník 207</t>
  </si>
  <si>
    <t>Javorník</t>
  </si>
  <si>
    <t>HOG568</t>
  </si>
  <si>
    <t>Knihovna Hovorany</t>
  </si>
  <si>
    <t>Hovorany 45</t>
  </si>
  <si>
    <t>Hovorany</t>
  </si>
  <si>
    <t>HOG571</t>
  </si>
  <si>
    <t>Obecní knihovna Násedlovice</t>
  </si>
  <si>
    <t>Násedlovice 129</t>
  </si>
  <si>
    <t>Násedlovice</t>
  </si>
  <si>
    <t>HOG579</t>
  </si>
  <si>
    <t>Obecní knihovna Domanín</t>
  </si>
  <si>
    <t>Domanín 260</t>
  </si>
  <si>
    <t>Domanín</t>
  </si>
  <si>
    <t>HOG580</t>
  </si>
  <si>
    <t>Místní knihovna Mutěnice</t>
  </si>
  <si>
    <t>Masarykova 200</t>
  </si>
  <si>
    <t>Mutěnice</t>
  </si>
  <si>
    <t>HOG581</t>
  </si>
  <si>
    <t>Místní knihovna Skalka</t>
  </si>
  <si>
    <t>Skalka 69</t>
  </si>
  <si>
    <t>Skalka</t>
  </si>
  <si>
    <t>JCG001</t>
  </si>
  <si>
    <t>Knihovna Václava Čtvrtka</t>
  </si>
  <si>
    <t>Denisova 400</t>
  </si>
  <si>
    <t>Jičín</t>
  </si>
  <si>
    <t>JCG502</t>
  </si>
  <si>
    <t>ul. F.F. Procházky 70</t>
  </si>
  <si>
    <t>Nová Paka</t>
  </si>
  <si>
    <t>JCG505</t>
  </si>
  <si>
    <t>nám. Jiřího z Poděbrad 239</t>
  </si>
  <si>
    <t>Hořice v Podkrkonoší</t>
  </si>
  <si>
    <t>JCG507</t>
  </si>
  <si>
    <t>Knihovna Kryštofa Haranta</t>
  </si>
  <si>
    <t>Pecka 2</t>
  </si>
  <si>
    <t>Pecka</t>
  </si>
  <si>
    <t>JCG514</t>
  </si>
  <si>
    <t>Knihovna Antonína Bocha Libošovice</t>
  </si>
  <si>
    <t>Libošovice č.p. 104</t>
  </si>
  <si>
    <t>Libošovice</t>
  </si>
  <si>
    <t>JCG519</t>
  </si>
  <si>
    <t>Místní knihovna v Lukavci u Hořic</t>
  </si>
  <si>
    <t>Lukavec u Hořic 106</t>
  </si>
  <si>
    <t>Lukavec</t>
  </si>
  <si>
    <t>JCG523</t>
  </si>
  <si>
    <t>Místní knihovna Sobčice</t>
  </si>
  <si>
    <t>Sobčice 25</t>
  </si>
  <si>
    <t>Sobčice</t>
  </si>
  <si>
    <t>JCG525</t>
  </si>
  <si>
    <t>Obecní knihovna Milovice</t>
  </si>
  <si>
    <t>Milovice u Hořic 80</t>
  </si>
  <si>
    <t>Milovice</t>
  </si>
  <si>
    <t>JCG528</t>
  </si>
  <si>
    <t>Obecní knihovna v Třebnouševsi</t>
  </si>
  <si>
    <t>Třebnouševes 80</t>
  </si>
  <si>
    <t>Třebnouševes</t>
  </si>
  <si>
    <t>JCG529</t>
  </si>
  <si>
    <t>Obecní knihovna Chomutice</t>
  </si>
  <si>
    <t>Chomutice 4</t>
  </si>
  <si>
    <t>Chomutice</t>
  </si>
  <si>
    <t>JCG530</t>
  </si>
  <si>
    <t>Místní knihovna Kacákova Lhota</t>
  </si>
  <si>
    <t>Kacákova Lhota 48</t>
  </si>
  <si>
    <t>Kacákova Lhota</t>
  </si>
  <si>
    <t>JCG536</t>
  </si>
  <si>
    <t>Místní knihovna v Bystřici</t>
  </si>
  <si>
    <t>Bystřice 23</t>
  </si>
  <si>
    <t>JCG542</t>
  </si>
  <si>
    <t>Lidová knihovna Úhlejov</t>
  </si>
  <si>
    <t>Úhlejov 50</t>
  </si>
  <si>
    <t>Úhlejov</t>
  </si>
  <si>
    <t>JCG549</t>
  </si>
  <si>
    <t>Místní knihovna Slatiny</t>
  </si>
  <si>
    <t>Slatiny 64</t>
  </si>
  <si>
    <t>Slatiny</t>
  </si>
  <si>
    <t>JCG566</t>
  </si>
  <si>
    <t>Místní knihovna v Lužanech</t>
  </si>
  <si>
    <t>Lužany 144</t>
  </si>
  <si>
    <t>Lužany</t>
  </si>
  <si>
    <t>JEG502</t>
  </si>
  <si>
    <t>Knihovna Vincence Priessnitze v Jeseníku</t>
  </si>
  <si>
    <t>Lipovská 10/296</t>
  </si>
  <si>
    <t>Jeseník</t>
  </si>
  <si>
    <t>Máme k dispozici zvukové záznamy především mluvené slovo na MG a CD pro držitelé ZTP, zrakově postižené občany. Připravujeme půjčování zvukových nosičů za úplatu pro všechny ostatní zájemce</t>
  </si>
  <si>
    <t>JHG001</t>
  </si>
  <si>
    <t>Městská knihovna Jindřichův Hradec</t>
  </si>
  <si>
    <t>U Knihovny 1173/II</t>
  </si>
  <si>
    <t>Jindřichův Hradec</t>
  </si>
  <si>
    <t>JHG501</t>
  </si>
  <si>
    <t>Nám. 5.května 133</t>
  </si>
  <si>
    <t>Lomnice nad Lužnicí</t>
  </si>
  <si>
    <t>JHG502</t>
  </si>
  <si>
    <t>Městská knihovna Dačice</t>
  </si>
  <si>
    <t>Pantočkova 89</t>
  </si>
  <si>
    <t>Dačice</t>
  </si>
  <si>
    <t>Služba je určena pouze handicapovaným</t>
  </si>
  <si>
    <t>JHG505</t>
  </si>
  <si>
    <t>Třída Čsl. legií 325</t>
  </si>
  <si>
    <t>České Velenice</t>
  </si>
  <si>
    <t>JHG506</t>
  </si>
  <si>
    <t>Knihovna Městyse Chlum u Třeboně</t>
  </si>
  <si>
    <t>Třeboňská 455</t>
  </si>
  <si>
    <t>Chlum u Třeboně</t>
  </si>
  <si>
    <t>JHG507</t>
  </si>
  <si>
    <t>Nám. J. Hrubého 64</t>
  </si>
  <si>
    <t>Kardašova Řečice</t>
  </si>
  <si>
    <t>JHG510</t>
  </si>
  <si>
    <t>Komenského 386</t>
  </si>
  <si>
    <t>Nová Včelnice</t>
  </si>
  <si>
    <t>JHG541</t>
  </si>
  <si>
    <t>Obecní knihovna v Plavsku</t>
  </si>
  <si>
    <t>Plavsko čp. 77</t>
  </si>
  <si>
    <t>Plavsko</t>
  </si>
  <si>
    <t>JHG580</t>
  </si>
  <si>
    <t>Obecní knihovna Dolní Žďár</t>
  </si>
  <si>
    <t>Dolní Žďár</t>
  </si>
  <si>
    <t>JIG001</t>
  </si>
  <si>
    <t>Městská knihovna Jihlava, příspěvková organizace</t>
  </si>
  <si>
    <t>Hluboká 1</t>
  </si>
  <si>
    <t>Jihlava</t>
  </si>
  <si>
    <t>JIG503</t>
  </si>
  <si>
    <t>Husova knihovna</t>
  </si>
  <si>
    <t>Sezimovo náměstí 9</t>
  </si>
  <si>
    <t>Polná</t>
  </si>
  <si>
    <t>JIG508</t>
  </si>
  <si>
    <t>Místní knihovna Větrný Jeníkov</t>
  </si>
  <si>
    <t>Větrný Jeníkov 5</t>
  </si>
  <si>
    <t>Větrný Jeníkov</t>
  </si>
  <si>
    <t>JIG524</t>
  </si>
  <si>
    <t>Místní knihovna v Jamném</t>
  </si>
  <si>
    <t>Jamné 168</t>
  </si>
  <si>
    <t>Jamné</t>
  </si>
  <si>
    <t>JIG528</t>
  </si>
  <si>
    <t>Místní knihovna v Krasonicích</t>
  </si>
  <si>
    <t>Krasonice 127</t>
  </si>
  <si>
    <t>Krasonice</t>
  </si>
  <si>
    <t>JIG557</t>
  </si>
  <si>
    <t>Místní knihovna v Panenské Rozsíčce</t>
  </si>
  <si>
    <t>Panenská Rozsíčka 33</t>
  </si>
  <si>
    <t>Panenská Rozsíčka</t>
  </si>
  <si>
    <t>JIG572</t>
  </si>
  <si>
    <t>Místní knihovna ve Zhoři</t>
  </si>
  <si>
    <t>Zhoř u Jihlavy 64</t>
  </si>
  <si>
    <t>Zhoř</t>
  </si>
  <si>
    <t>JNG001</t>
  </si>
  <si>
    <t>Dolní nám. 1</t>
  </si>
  <si>
    <t>Jablonec nad Nisou</t>
  </si>
  <si>
    <t>JNG501</t>
  </si>
  <si>
    <t>Městská knihovna Tanvald</t>
  </si>
  <si>
    <t>Krkonošská 350</t>
  </si>
  <si>
    <t>Tanvald</t>
  </si>
  <si>
    <t>JNG504</t>
  </si>
  <si>
    <t>Květinová 498</t>
  </si>
  <si>
    <t>Rychnov u Jablonce nad Nisou</t>
  </si>
  <si>
    <t>KAG001</t>
  </si>
  <si>
    <t>Regionální knihovna Karviná, příspěvková organizace</t>
  </si>
  <si>
    <t>Centrum 2299/16</t>
  </si>
  <si>
    <t>Karviná</t>
  </si>
  <si>
    <t>Totéž i Středisko hudby a umění, Středisko polské literatury, SKIS Karviná - Nové Město, půjčování zvukových záznamů také z výměnných fondů</t>
  </si>
  <si>
    <t>KAG501</t>
  </si>
  <si>
    <t>nám. Míru 1609</t>
  </si>
  <si>
    <t>Rychvald</t>
  </si>
  <si>
    <t>KAG502</t>
  </si>
  <si>
    <t>Městská knihovna Orlová, příspěvková organizace</t>
  </si>
  <si>
    <t>Masarykova třída 1324</t>
  </si>
  <si>
    <t>Orlová</t>
  </si>
  <si>
    <t>KAG503</t>
  </si>
  <si>
    <t>Městská knihovna Havířov</t>
  </si>
  <si>
    <t>Svornosti 86/2, budova G</t>
  </si>
  <si>
    <t>Havířov</t>
  </si>
  <si>
    <t>KAG504</t>
  </si>
  <si>
    <t>Město Petřvald - knihovna</t>
  </si>
  <si>
    <t>K Muzeu 150</t>
  </si>
  <si>
    <t>Petřvald u Karviné</t>
  </si>
  <si>
    <t>KAG505</t>
  </si>
  <si>
    <t>K3 Bohumín, p.o. - středisko KNIHOVNA</t>
  </si>
  <si>
    <t>Vrchlického 262</t>
  </si>
  <si>
    <t>Bohumín</t>
  </si>
  <si>
    <t>KAG506</t>
  </si>
  <si>
    <t>Městská knihovna Český Těšín</t>
  </si>
  <si>
    <t>Ostravská 1326/67</t>
  </si>
  <si>
    <t>Český Těšín</t>
  </si>
  <si>
    <t>KAG513</t>
  </si>
  <si>
    <t>Obecní knihovna Těrlicko</t>
  </si>
  <si>
    <t>Májová 423/22</t>
  </si>
  <si>
    <t>Těrlicko</t>
  </si>
  <si>
    <t>KAG514</t>
  </si>
  <si>
    <t>Obecní knihovna v Horní Suché</t>
  </si>
  <si>
    <t>Sportovní 227</t>
  </si>
  <si>
    <t>Horní Suchá</t>
  </si>
  <si>
    <t>Půjčujeme zvukové knihy také z výměnných souborů</t>
  </si>
  <si>
    <t>KHE801</t>
  </si>
  <si>
    <t>Národní zemědělské muzeum Praha - Muzeum českého venkova - Zámek Kačina - knihovna</t>
  </si>
  <si>
    <t>Zámek Kačina, Svatý Mikuláš 51</t>
  </si>
  <si>
    <t>Kutná Hora</t>
  </si>
  <si>
    <t>KHG001</t>
  </si>
  <si>
    <t>Městská knihovna Kutná Hora</t>
  </si>
  <si>
    <t>Husova 145</t>
  </si>
  <si>
    <t>KHG002</t>
  </si>
  <si>
    <t>Knihovna Rohozec</t>
  </si>
  <si>
    <t>Rohozec 19</t>
  </si>
  <si>
    <t>Rohozec</t>
  </si>
  <si>
    <t>KHG003</t>
  </si>
  <si>
    <t>Obecní knihovna Chlístovice</t>
  </si>
  <si>
    <t>Chlístovice 66</t>
  </si>
  <si>
    <t>Chlístovice</t>
  </si>
  <si>
    <t>KHG004</t>
  </si>
  <si>
    <t>Místní lidová knihovna obce Svatý Mikuláš</t>
  </si>
  <si>
    <t>Svatý Mikuláš 23</t>
  </si>
  <si>
    <t>Svatý Mikuláš</t>
  </si>
  <si>
    <t>KHG005</t>
  </si>
  <si>
    <t>Místní lidová knihovna obce Svatá Kateřina</t>
  </si>
  <si>
    <t>Svatá Kateřina 60</t>
  </si>
  <si>
    <t>Svatá Kateřina</t>
  </si>
  <si>
    <t>KHG006</t>
  </si>
  <si>
    <t>Obecní knihovna Černíny</t>
  </si>
  <si>
    <t>Černíny 44</t>
  </si>
  <si>
    <t>Černíny</t>
  </si>
  <si>
    <t>KHG502</t>
  </si>
  <si>
    <t>Nádražní 401</t>
  </si>
  <si>
    <t>Zbraslavice</t>
  </si>
  <si>
    <t>KHG504</t>
  </si>
  <si>
    <t>Městská knihovna Uhlířské Janovice</t>
  </si>
  <si>
    <t>Pečírkova 168</t>
  </si>
  <si>
    <t>Uhlířské Janovice</t>
  </si>
  <si>
    <t>KHG505</t>
  </si>
  <si>
    <t>Městské muzeum a knihovna Čáslav - Městská knihovna</t>
  </si>
  <si>
    <t>Kostelní náměstí 197</t>
  </si>
  <si>
    <t>Čáslav</t>
  </si>
  <si>
    <t>KHG506</t>
  </si>
  <si>
    <t>Městská knihovna Zruč n/S.</t>
  </si>
  <si>
    <t>5. května 510</t>
  </si>
  <si>
    <t>Zruč nad Sázavou</t>
  </si>
  <si>
    <t>KHG507</t>
  </si>
  <si>
    <t>Knihovna F. V. Lorence Vrdy</t>
  </si>
  <si>
    <t>Tylova 25</t>
  </si>
  <si>
    <t>Vrdy</t>
  </si>
  <si>
    <t>KHG508</t>
  </si>
  <si>
    <t>Místní knihovna Žleby</t>
  </si>
  <si>
    <t>Zámecké nám. 67</t>
  </si>
  <si>
    <t>Žleby</t>
  </si>
  <si>
    <t>KHG509</t>
  </si>
  <si>
    <t>Obecní knihovna Křesetice</t>
  </si>
  <si>
    <t>Křesetice 1</t>
  </si>
  <si>
    <t>Křesetice</t>
  </si>
  <si>
    <t>KHG510</t>
  </si>
  <si>
    <t>Obecní knihovna Bohdaneč</t>
  </si>
  <si>
    <t>Bohdaneč 125/7</t>
  </si>
  <si>
    <t>Bohdaneč</t>
  </si>
  <si>
    <t>KHG511</t>
  </si>
  <si>
    <t>Obecní knihovna Záboří nad Labem</t>
  </si>
  <si>
    <t>Školní 164</t>
  </si>
  <si>
    <t>Záboří nad Labem</t>
  </si>
  <si>
    <t>KHG512</t>
  </si>
  <si>
    <t>Obecní knihovna Krchleby</t>
  </si>
  <si>
    <t>Krchleby 166</t>
  </si>
  <si>
    <t>Krchleby</t>
  </si>
  <si>
    <t>KHG513</t>
  </si>
  <si>
    <t>Místní knihovna Vlkaneč</t>
  </si>
  <si>
    <t>Vlkaneč 29</t>
  </si>
  <si>
    <t>Vlkaneč</t>
  </si>
  <si>
    <t>KHG514</t>
  </si>
  <si>
    <t>Místní knihovna Kozohlody</t>
  </si>
  <si>
    <t>Kozohlody</t>
  </si>
  <si>
    <t>KHG515</t>
  </si>
  <si>
    <t>Obecní knihovna v Podvekách</t>
  </si>
  <si>
    <t>Podveky 54</t>
  </si>
  <si>
    <t>Podveky</t>
  </si>
  <si>
    <t>KHG516</t>
  </si>
  <si>
    <t>Obecní knihovna Opatovice I</t>
  </si>
  <si>
    <t>Opatovice I 35</t>
  </si>
  <si>
    <t>Opatovice I</t>
  </si>
  <si>
    <t>KHG517</t>
  </si>
  <si>
    <t>Místní lidová knihovna Malešov</t>
  </si>
  <si>
    <t>Žižkovo nám. 107</t>
  </si>
  <si>
    <t>Malešov</t>
  </si>
  <si>
    <t>KHG521</t>
  </si>
  <si>
    <t>Místní knihovna Zbýšov</t>
  </si>
  <si>
    <t>Zbýšov 58</t>
  </si>
  <si>
    <t>Zbýšov</t>
  </si>
  <si>
    <t>KHG522</t>
  </si>
  <si>
    <t>Obecní knihovna Třebešice</t>
  </si>
  <si>
    <t>Třebešice 63</t>
  </si>
  <si>
    <t>Třebešice</t>
  </si>
  <si>
    <t>KHG523</t>
  </si>
  <si>
    <t>Obecní knihovna v Bílém Podolí</t>
  </si>
  <si>
    <t>Bílé Podolí 41</t>
  </si>
  <si>
    <t>Bílé Podolí</t>
  </si>
  <si>
    <t>KHG524</t>
  </si>
  <si>
    <t>Místní knihovna Nové Dvory</t>
  </si>
  <si>
    <t>Masarykovo nám. 11</t>
  </si>
  <si>
    <t>Nové Dvory</t>
  </si>
  <si>
    <t>KHG525</t>
  </si>
  <si>
    <t>Místní knihovna Chotusice</t>
  </si>
  <si>
    <t>Chotusice 61</t>
  </si>
  <si>
    <t>Chotusice</t>
  </si>
  <si>
    <t>KHG526</t>
  </si>
  <si>
    <t>Lidová knihovna Hraběšín</t>
  </si>
  <si>
    <t>Hraběšín 14</t>
  </si>
  <si>
    <t>Hraběšín</t>
  </si>
  <si>
    <t>KHG527</t>
  </si>
  <si>
    <t>Místní knihovna Čestín</t>
  </si>
  <si>
    <t>Čestín 3</t>
  </si>
  <si>
    <t>Čestín</t>
  </si>
  <si>
    <t>KHG528</t>
  </si>
  <si>
    <t>Místní knihovna Miskovice</t>
  </si>
  <si>
    <t>Miskovice 26</t>
  </si>
  <si>
    <t>Miskovice</t>
  </si>
  <si>
    <t>KHG529</t>
  </si>
  <si>
    <t>Obecní knihovna Drobovice</t>
  </si>
  <si>
    <t>Drobovice 64</t>
  </si>
  <si>
    <t>Drobovice</t>
  </si>
  <si>
    <t>KHG530</t>
  </si>
  <si>
    <t>Obecní knihovna Semtěš</t>
  </si>
  <si>
    <t>Semtěš 17</t>
  </si>
  <si>
    <t>Semtěš</t>
  </si>
  <si>
    <t>KHG532</t>
  </si>
  <si>
    <t>Místní knihovna Potěhy</t>
  </si>
  <si>
    <t>Potěhy 60</t>
  </si>
  <si>
    <t>Potěhy</t>
  </si>
  <si>
    <t>KHG533</t>
  </si>
  <si>
    <t>Místní lidová knihovna Horka II</t>
  </si>
  <si>
    <t>Horka II čp. 1</t>
  </si>
  <si>
    <t>Horka II.</t>
  </si>
  <si>
    <t>KHG534</t>
  </si>
  <si>
    <t>Obecní knihovna Souňov</t>
  </si>
  <si>
    <t>Souňov 14</t>
  </si>
  <si>
    <t>Souňov</t>
  </si>
  <si>
    <t>KHG535</t>
  </si>
  <si>
    <t>Místní knihovna v Močovicích</t>
  </si>
  <si>
    <t>Močovice 26</t>
  </si>
  <si>
    <t>Močovice</t>
  </si>
  <si>
    <t>KHG536</t>
  </si>
  <si>
    <t>Místní knihovna Vlačice</t>
  </si>
  <si>
    <t>Vlačice 38</t>
  </si>
  <si>
    <t>Vlačice</t>
  </si>
  <si>
    <t>KHG537</t>
  </si>
  <si>
    <t>Místní knihovna Tupadly</t>
  </si>
  <si>
    <t>Tupadly 120</t>
  </si>
  <si>
    <t>Tupadly</t>
  </si>
  <si>
    <t>KHG538</t>
  </si>
  <si>
    <t>Obecní knihovna Slavošov</t>
  </si>
  <si>
    <t>Slavošov 50</t>
  </si>
  <si>
    <t>Slavošov</t>
  </si>
  <si>
    <t>KHG539</t>
  </si>
  <si>
    <t>Obecní knihovna Bratčice</t>
  </si>
  <si>
    <t>Bratčice 49</t>
  </si>
  <si>
    <t>Bratčice</t>
  </si>
  <si>
    <t>KHG540</t>
  </si>
  <si>
    <t>Obecní knihovna Kácov</t>
  </si>
  <si>
    <t>Nádražní 15</t>
  </si>
  <si>
    <t>Kácov</t>
  </si>
  <si>
    <t>KHG541</t>
  </si>
  <si>
    <t>Místní knihovna Paběnice</t>
  </si>
  <si>
    <t>Paběnice 16</t>
  </si>
  <si>
    <t>Paběnice</t>
  </si>
  <si>
    <t>KHG542</t>
  </si>
  <si>
    <t>Místní knihovna Církvice</t>
  </si>
  <si>
    <t>Církvice 6</t>
  </si>
  <si>
    <t>Církvice</t>
  </si>
  <si>
    <t>KHG543</t>
  </si>
  <si>
    <t>Místní lidová knihovna v Červených Janovicích</t>
  </si>
  <si>
    <t>Červené Janovice 102</t>
  </si>
  <si>
    <t>Červené Janovice</t>
  </si>
  <si>
    <t>KHG544</t>
  </si>
  <si>
    <t>Obecní knihovna Horka I</t>
  </si>
  <si>
    <t>Horka I 59</t>
  </si>
  <si>
    <t>Horka I.</t>
  </si>
  <si>
    <t>KHG545</t>
  </si>
  <si>
    <t>Obecní knihovna Staňkovice</t>
  </si>
  <si>
    <t>Staňkovice 30</t>
  </si>
  <si>
    <t>Staňkovice</t>
  </si>
  <si>
    <t>KHG546</t>
  </si>
  <si>
    <t>Obecní knihovna Žehušice</t>
  </si>
  <si>
    <t>Žehušice 107</t>
  </si>
  <si>
    <t>Žehušice</t>
  </si>
  <si>
    <t>KHG547</t>
  </si>
  <si>
    <t>Místní knihovna Suchdol</t>
  </si>
  <si>
    <t>Suchdol 1</t>
  </si>
  <si>
    <t>Suchdol u Kutné Hory</t>
  </si>
  <si>
    <t>KHG548</t>
  </si>
  <si>
    <t>Obecní knihovna Soběšín</t>
  </si>
  <si>
    <t>Soběšín-Otryby 35</t>
  </si>
  <si>
    <t>Soběšín-Otryby</t>
  </si>
  <si>
    <t>KHG549</t>
  </si>
  <si>
    <t>Obecní knihovna Horušice</t>
  </si>
  <si>
    <t>Horušice 93</t>
  </si>
  <si>
    <t>Horušice</t>
  </si>
  <si>
    <t>KHG552</t>
  </si>
  <si>
    <t>Obecní knihovna Petrovice I</t>
  </si>
  <si>
    <t>Petrovice I 55</t>
  </si>
  <si>
    <t>Petrovice</t>
  </si>
  <si>
    <t>KHG553</t>
  </si>
  <si>
    <t>Obecní knihovna Horky</t>
  </si>
  <si>
    <t>Horky 13</t>
  </si>
  <si>
    <t>Horky</t>
  </si>
  <si>
    <t>KHG554</t>
  </si>
  <si>
    <t>Veřejná knihovna Vlastějovice</t>
  </si>
  <si>
    <t>Vlastějovice 56</t>
  </si>
  <si>
    <t>Vlastějovice</t>
  </si>
  <si>
    <t>KHG555</t>
  </si>
  <si>
    <t>Místní knihovna Rataje nad Sázavou</t>
  </si>
  <si>
    <t>Předzámčí 39</t>
  </si>
  <si>
    <t>Rataje nad Sázavou</t>
  </si>
  <si>
    <t>KHG556</t>
  </si>
  <si>
    <t>Obecní knihovna Ledečko</t>
  </si>
  <si>
    <t>Ledečko 13</t>
  </si>
  <si>
    <t>Ledečko</t>
  </si>
  <si>
    <t>KHG558</t>
  </si>
  <si>
    <t>Obecní knihovna Hlízov</t>
  </si>
  <si>
    <t>Hlízov 164</t>
  </si>
  <si>
    <t>Hlízov</t>
  </si>
  <si>
    <t>KHG559</t>
  </si>
  <si>
    <t>Obecní knihovna Třebonín</t>
  </si>
  <si>
    <t>Třebonín 14</t>
  </si>
  <si>
    <t>Třebonín</t>
  </si>
  <si>
    <t>KHG600</t>
  </si>
  <si>
    <t>Obecní knihovna Starkoč</t>
  </si>
  <si>
    <t>Starkoč č. p. 26</t>
  </si>
  <si>
    <t>Starkoč</t>
  </si>
  <si>
    <t>KLG001</t>
  </si>
  <si>
    <t>Středočeská vědecká knihovna v Kladně, příspěvková organizace</t>
  </si>
  <si>
    <t>tř. Gen.Klapálka 1641</t>
  </si>
  <si>
    <t>Kladno</t>
  </si>
  <si>
    <t>KLG301</t>
  </si>
  <si>
    <t>Střední zdravotnická škola a Vyšší odborná škola zdravotnická Kladno - Knihovna</t>
  </si>
  <si>
    <t>Havířská 1141</t>
  </si>
  <si>
    <t>KLG501</t>
  </si>
  <si>
    <t>Knihovna Václava Štecha</t>
  </si>
  <si>
    <t>Masarykovo nám. 159</t>
  </si>
  <si>
    <t>Slaný</t>
  </si>
  <si>
    <t>KLG505</t>
  </si>
  <si>
    <t>nám. Krále Vladislava 10</t>
  </si>
  <si>
    <t>Velvary</t>
  </si>
  <si>
    <t>KLG528</t>
  </si>
  <si>
    <t>Obecní knihovna Vrbčany</t>
  </si>
  <si>
    <t>Vrbčany 25</t>
  </si>
  <si>
    <t>Vrbčany</t>
  </si>
  <si>
    <t>KMG001</t>
  </si>
  <si>
    <t>Knihovna Kroměřížska - příspěvková organizace</t>
  </si>
  <si>
    <t>Slovanské nám. 3920</t>
  </si>
  <si>
    <t>Kroměříž</t>
  </si>
  <si>
    <t>Zlínský</t>
  </si>
  <si>
    <t>Půjčuje i z výměnných souborů</t>
  </si>
  <si>
    <t>KMG450</t>
  </si>
  <si>
    <t>Arcibiskupské gymnázium v Kroměříži - Knihovna</t>
  </si>
  <si>
    <t>Pilařova 3</t>
  </si>
  <si>
    <t>KMG501</t>
  </si>
  <si>
    <t>Městská knihovna Bystřice pod Hostýnem</t>
  </si>
  <si>
    <t>Palackého 1144</t>
  </si>
  <si>
    <t>Bystřice pod Hostýnem</t>
  </si>
  <si>
    <t>KMG503</t>
  </si>
  <si>
    <t>Městská knihovna v Morkovicích</t>
  </si>
  <si>
    <t>Náměstí 29</t>
  </si>
  <si>
    <t>Morkovice</t>
  </si>
  <si>
    <t>KMG507</t>
  </si>
  <si>
    <t>Městská knihovna, kulturní a informační centrum města Koryčany</t>
  </si>
  <si>
    <t>Náměstí 152</t>
  </si>
  <si>
    <t>Koryčany</t>
  </si>
  <si>
    <t>KMG508</t>
  </si>
  <si>
    <t>Městská knihovna v Hulíně</t>
  </si>
  <si>
    <t>Nám. Míru 162</t>
  </si>
  <si>
    <t>Hulín</t>
  </si>
  <si>
    <t>KOG001</t>
  </si>
  <si>
    <t>Husova 69</t>
  </si>
  <si>
    <t>Kolín</t>
  </si>
  <si>
    <t>KOG002</t>
  </si>
  <si>
    <t>Místní lidová knihovna Libenice</t>
  </si>
  <si>
    <t>Libenice 5</t>
  </si>
  <si>
    <t>Libenice</t>
  </si>
  <si>
    <t>KOG003</t>
  </si>
  <si>
    <t>Obecní knihovna ve Veletově</t>
  </si>
  <si>
    <t>Veletov 5</t>
  </si>
  <si>
    <t>Veletov</t>
  </si>
  <si>
    <t>KOG004</t>
  </si>
  <si>
    <t>Obecní knihovna Žabonosy</t>
  </si>
  <si>
    <t>Žabonosy 94</t>
  </si>
  <si>
    <t>Žabonosy</t>
  </si>
  <si>
    <t>KOG005</t>
  </si>
  <si>
    <t>Místní lidová knihovna Libodřice</t>
  </si>
  <si>
    <t>Libodřice 55</t>
  </si>
  <si>
    <t>Libodřice</t>
  </si>
  <si>
    <t>KOG006</t>
  </si>
  <si>
    <t>Obecní knihovna Jestřabí Lhota</t>
  </si>
  <si>
    <t>Jestřabí Lhota 74</t>
  </si>
  <si>
    <t>Jestřabí Lhota</t>
  </si>
  <si>
    <t>KOG501</t>
  </si>
  <si>
    <t>nám. Arnošta z Pardubic 1</t>
  </si>
  <si>
    <t>Český Brod</t>
  </si>
  <si>
    <t>KOG502</t>
  </si>
  <si>
    <t>Městská knihovna Svatopluka Čecha</t>
  </si>
  <si>
    <t>tř. 5.května 241</t>
  </si>
  <si>
    <t>Pečky</t>
  </si>
  <si>
    <t>KOG503</t>
  </si>
  <si>
    <t>Městská knihovna Karla Hampla</t>
  </si>
  <si>
    <t>Komenského náměstí 235</t>
  </si>
  <si>
    <t>Týnec nad Labem</t>
  </si>
  <si>
    <t>KOG504</t>
  </si>
  <si>
    <t>nám. Smiřických 33</t>
  </si>
  <si>
    <t>Kostelec nad Černými lesy</t>
  </si>
  <si>
    <t>KOG505</t>
  </si>
  <si>
    <t>Kouřim</t>
  </si>
  <si>
    <t>KOG506</t>
  </si>
  <si>
    <t>Městská knihovna Zásmuky</t>
  </si>
  <si>
    <t>Za Zahrady 450</t>
  </si>
  <si>
    <t>Zásmuky</t>
  </si>
  <si>
    <t>KOG508</t>
  </si>
  <si>
    <t>Masarykovo nám. 1</t>
  </si>
  <si>
    <t>Žiželice nad Cidlinou</t>
  </si>
  <si>
    <t>KOG509</t>
  </si>
  <si>
    <t>Žižkova 398</t>
  </si>
  <si>
    <t>Velký Osek</t>
  </si>
  <si>
    <t>KOG510</t>
  </si>
  <si>
    <t>Náměstí 1. Máje 12</t>
  </si>
  <si>
    <t>Červené Pečky</t>
  </si>
  <si>
    <t>KOG511</t>
  </si>
  <si>
    <t>Místní knihovna Velim</t>
  </si>
  <si>
    <t>náměstí Obránců míru 120</t>
  </si>
  <si>
    <t>Velim</t>
  </si>
  <si>
    <t>KOG512</t>
  </si>
  <si>
    <t>Obecní knihovna Plaňany</t>
  </si>
  <si>
    <t>Plaňany 380</t>
  </si>
  <si>
    <t>Plaňany</t>
  </si>
  <si>
    <t>KOG513</t>
  </si>
  <si>
    <t>Knihovna Cerhenice</t>
  </si>
  <si>
    <t>Náměstí Míru 22</t>
  </si>
  <si>
    <t>Cerhenice</t>
  </si>
  <si>
    <t>KOG514</t>
  </si>
  <si>
    <t>Obecní knihovna Krakovany</t>
  </si>
  <si>
    <t>Krakovany 15</t>
  </si>
  <si>
    <t>Krakovany</t>
  </si>
  <si>
    <t>KOG515</t>
  </si>
  <si>
    <t>Obecní knihovna Konojedy</t>
  </si>
  <si>
    <t>Konojedy 7</t>
  </si>
  <si>
    <t>Konojedy</t>
  </si>
  <si>
    <t>KOG516</t>
  </si>
  <si>
    <t>Obecní knihovna v Konárovicích</t>
  </si>
  <si>
    <t>Na rynku 11</t>
  </si>
  <si>
    <t>Konárovice</t>
  </si>
  <si>
    <t>KOG517</t>
  </si>
  <si>
    <t>Obecní knihovna Lipec</t>
  </si>
  <si>
    <t>Lipec 83</t>
  </si>
  <si>
    <t>Lipec</t>
  </si>
  <si>
    <t>KOG518</t>
  </si>
  <si>
    <t>Obecní knihovna Vyžlovka</t>
  </si>
  <si>
    <t>Na Návsi 57</t>
  </si>
  <si>
    <t>Vyžlovka</t>
  </si>
  <si>
    <t>KOG519</t>
  </si>
  <si>
    <t>Obecní knihovna Polepy</t>
  </si>
  <si>
    <t>Polepy 131</t>
  </si>
  <si>
    <t>Polepy</t>
  </si>
  <si>
    <t>KOG520</t>
  </si>
  <si>
    <t>Místní knihovna Svojšice</t>
  </si>
  <si>
    <t>Svojšice 121</t>
  </si>
  <si>
    <t>Svojšice</t>
  </si>
  <si>
    <t>KOG521</t>
  </si>
  <si>
    <t>Obecní knihovna Doubravčice</t>
  </si>
  <si>
    <t>Doubravčice 94</t>
  </si>
  <si>
    <t>Doubravčice</t>
  </si>
  <si>
    <t>KOG522</t>
  </si>
  <si>
    <t>Obecní knihovna Ratenice</t>
  </si>
  <si>
    <t>Ratenice 67</t>
  </si>
  <si>
    <t>Ratenice</t>
  </si>
  <si>
    <t>KOG523</t>
  </si>
  <si>
    <t>Obecní knihovna Chotýš</t>
  </si>
  <si>
    <t>Chotýš 40</t>
  </si>
  <si>
    <t>Chotýš</t>
  </si>
  <si>
    <t>KOG524</t>
  </si>
  <si>
    <t>Obecní knihovna v Křečhoři</t>
  </si>
  <si>
    <t>Křečhoř 1</t>
  </si>
  <si>
    <t>Křečhoř</t>
  </si>
  <si>
    <t>KOG525</t>
  </si>
  <si>
    <t>Obecní knihovna Přistoupim</t>
  </si>
  <si>
    <t>Přistoupim 80</t>
  </si>
  <si>
    <t>Přistoupim</t>
  </si>
  <si>
    <t>KOG526</t>
  </si>
  <si>
    <t>Obecní knihovna Chotouchov</t>
  </si>
  <si>
    <t>Chotouchov 30</t>
  </si>
  <si>
    <t>Chotouchov</t>
  </si>
  <si>
    <t>KOG529</t>
  </si>
  <si>
    <t>Obecní knihovna ve Veltrubech</t>
  </si>
  <si>
    <t>Sportovní 239</t>
  </si>
  <si>
    <t>Veltruby</t>
  </si>
  <si>
    <t>KOG531</t>
  </si>
  <si>
    <t>Obecní knihovna ve Stříbrné Skalici</t>
  </si>
  <si>
    <t>Na Městečku 71</t>
  </si>
  <si>
    <t>Stříbrná Skalice</t>
  </si>
  <si>
    <t>KOG532</t>
  </si>
  <si>
    <t>Obecní knihovna Ovčáry</t>
  </si>
  <si>
    <t>Na Františku 272</t>
  </si>
  <si>
    <t>Ovčáry</t>
  </si>
  <si>
    <t>KOG533</t>
  </si>
  <si>
    <t>Obecní knihovna v Pašince</t>
  </si>
  <si>
    <t>Pašinka</t>
  </si>
  <si>
    <t>KOG534</t>
  </si>
  <si>
    <t>Obecní knihovna Nučice</t>
  </si>
  <si>
    <t>Nučice 2</t>
  </si>
  <si>
    <t>Nučice</t>
  </si>
  <si>
    <t>KOG535</t>
  </si>
  <si>
    <t>Obecní knihovna v Dořichově</t>
  </si>
  <si>
    <t>Dobřichov 206</t>
  </si>
  <si>
    <t>Dobřichov</t>
  </si>
  <si>
    <t>KOG536</t>
  </si>
  <si>
    <t>Obecní knihovna Tuchoraz</t>
  </si>
  <si>
    <t>Tuchoraz 99</t>
  </si>
  <si>
    <t>Tuchoraz</t>
  </si>
  <si>
    <t>KOG538</t>
  </si>
  <si>
    <t>Obecní knihovna Lošany</t>
  </si>
  <si>
    <t>Lošany 13</t>
  </si>
  <si>
    <t>Lošany</t>
  </si>
  <si>
    <t>KOG539</t>
  </si>
  <si>
    <t>Obecní knihovna Tuklaty</t>
  </si>
  <si>
    <t>Na Valech 19</t>
  </si>
  <si>
    <t>Tuklaty</t>
  </si>
  <si>
    <t>KOG540</t>
  </si>
  <si>
    <t>Veřejná knihovna Miškovice</t>
  </si>
  <si>
    <t>Miškovice</t>
  </si>
  <si>
    <t>KOG541</t>
  </si>
  <si>
    <t>Obecní knihovna v Tismicích</t>
  </si>
  <si>
    <t>Tismice 136</t>
  </si>
  <si>
    <t>Tismice</t>
  </si>
  <si>
    <t>KOG542</t>
  </si>
  <si>
    <t>Obecní knihovna Zalešany</t>
  </si>
  <si>
    <t>Zalešany 50</t>
  </si>
  <si>
    <t>Zalešany</t>
  </si>
  <si>
    <t>KOG543</t>
  </si>
  <si>
    <t>Veřejná knihovna Oleška</t>
  </si>
  <si>
    <t>Oleška 1 (Obecní úřad)</t>
  </si>
  <si>
    <t>Oleška</t>
  </si>
  <si>
    <t>KOG544</t>
  </si>
  <si>
    <t>Obecní knihovna Ratboř</t>
  </si>
  <si>
    <t>Komenského 8</t>
  </si>
  <si>
    <t>Ratboř</t>
  </si>
  <si>
    <t>KOG545</t>
  </si>
  <si>
    <t>Obecní knihovna Bečváry</t>
  </si>
  <si>
    <t>Bečváry 161</t>
  </si>
  <si>
    <t>Bečváry</t>
  </si>
  <si>
    <t>KOG546</t>
  </si>
  <si>
    <t>Obecní knihovna Červený Hrádek</t>
  </si>
  <si>
    <t>Červený Hrádek 23</t>
  </si>
  <si>
    <t>Červený Hrádek</t>
  </si>
  <si>
    <t>KOG547</t>
  </si>
  <si>
    <t>Obecní knihovna Tři Dvory</t>
  </si>
  <si>
    <t>Tři Dvory 271</t>
  </si>
  <si>
    <t>Tři Dvory</t>
  </si>
  <si>
    <t>KOG548</t>
  </si>
  <si>
    <t>Obecní knihovna Dolní Chvátliny</t>
  </si>
  <si>
    <t>Dolní Chvátliny 44</t>
  </si>
  <si>
    <t>Dolní Chvatliny</t>
  </si>
  <si>
    <t>KOG549</t>
  </si>
  <si>
    <t>Knihovna Vrátkov</t>
  </si>
  <si>
    <t>Vrátkov 17</t>
  </si>
  <si>
    <t>Vrátkov</t>
  </si>
  <si>
    <t>KOG550</t>
  </si>
  <si>
    <t>Místní knihovna Radovesnice II</t>
  </si>
  <si>
    <t>Radovesnice II čp.59</t>
  </si>
  <si>
    <t>Radovesnice II</t>
  </si>
  <si>
    <t>KOG551</t>
  </si>
  <si>
    <t>Obecní knihovna Drahobudice</t>
  </si>
  <si>
    <t>Drahobudice 51</t>
  </si>
  <si>
    <t>Drahobudice</t>
  </si>
  <si>
    <t>KOG553</t>
  </si>
  <si>
    <t>Obecní knihovna Ohaře</t>
  </si>
  <si>
    <t>Ohaře 45</t>
  </si>
  <si>
    <t>Ohaře</t>
  </si>
  <si>
    <t>KOG555</t>
  </si>
  <si>
    <t>Obecní knihovna ve Vrbové Lhotě</t>
  </si>
  <si>
    <t>Poděbradská 25</t>
  </si>
  <si>
    <t>Vrbová Lhota</t>
  </si>
  <si>
    <t>KOG556</t>
  </si>
  <si>
    <t>Obecní knihovna v Pňově-Předhradí</t>
  </si>
  <si>
    <t>Husova 37</t>
  </si>
  <si>
    <t>Pňov-Předhradí</t>
  </si>
  <si>
    <t>KOG557</t>
  </si>
  <si>
    <t>Jiráskova knihovna Klučov</t>
  </si>
  <si>
    <t>Klučov 114</t>
  </si>
  <si>
    <t>Klučov</t>
  </si>
  <si>
    <t>KOG558</t>
  </si>
  <si>
    <t>Obecní knihovna Skvrňov</t>
  </si>
  <si>
    <t>Skvrňov 80</t>
  </si>
  <si>
    <t>Skvrňov</t>
  </si>
  <si>
    <t>KOG801</t>
  </si>
  <si>
    <t>Základní škola a Mateřská škola Býchory - Knihovna</t>
  </si>
  <si>
    <t>Býchory 99</t>
  </si>
  <si>
    <t>Býchory</t>
  </si>
  <si>
    <t>KTG001</t>
  </si>
  <si>
    <t>Balbínova 59</t>
  </si>
  <si>
    <t>Klatovy</t>
  </si>
  <si>
    <t>KTG501</t>
  </si>
  <si>
    <t>Sušické kulturní centrum-SIRKUS, p.o. - Městská knihovna Sušice</t>
  </si>
  <si>
    <t>Klostermannova 1330</t>
  </si>
  <si>
    <t>Sušice</t>
  </si>
  <si>
    <t>KTG503</t>
  </si>
  <si>
    <t>Městská knihovna Horažďovice</t>
  </si>
  <si>
    <t>Mírové nám. 11</t>
  </si>
  <si>
    <t>Horažďovice</t>
  </si>
  <si>
    <t>KTG571</t>
  </si>
  <si>
    <t>Místní knihovna Hejná</t>
  </si>
  <si>
    <t>Hejná 70</t>
  </si>
  <si>
    <t>Hejná</t>
  </si>
  <si>
    <t>KVG001</t>
  </si>
  <si>
    <t>Krajská knihovna Karlovy Vary</t>
  </si>
  <si>
    <t>Závodní 378/84</t>
  </si>
  <si>
    <t>Karlovy Vary</t>
  </si>
  <si>
    <t>KVG003</t>
  </si>
  <si>
    <t>Městská knihovna Karlovy Vary</t>
  </si>
  <si>
    <t>I.P. Pavlova 7</t>
  </si>
  <si>
    <t>Pobočky: Drahovice, Vítězná 49, 360 09 Karlovy Vary Vyhlídka, Raisova 4 360 01 Karlovy Vary Růžový Vrch, Sedlecká 4 360 10 Karlovy Vary Čankovská, U Koupaliště 874/18 360 05 Karlovy Vary Tuhnice, Wolkerova 1 360 01 Karlovy Vary Stará Role, Truhlářská 681/19 360 17 Karlovy Vary</t>
  </si>
  <si>
    <t>KVG501</t>
  </si>
  <si>
    <t>Městská knihovna Ostrov, příspěvková organizace</t>
  </si>
  <si>
    <t>Zámecký park 224</t>
  </si>
  <si>
    <t>Ostrov nad Ohří</t>
  </si>
  <si>
    <t>KVG502</t>
  </si>
  <si>
    <t>Městská knihovna a infocentrum Bochov</t>
  </si>
  <si>
    <t>Obuvnická 59</t>
  </si>
  <si>
    <t>Bochov</t>
  </si>
  <si>
    <t>KVG504</t>
  </si>
  <si>
    <t>Městská knihovna Nejdek</t>
  </si>
  <si>
    <t>nám. Karla IV. 398</t>
  </si>
  <si>
    <t>Nejdek</t>
  </si>
  <si>
    <t>KVG508</t>
  </si>
  <si>
    <t>Městská knihovna Nová Role</t>
  </si>
  <si>
    <t>Chodovská 236</t>
  </si>
  <si>
    <t>Nová Role</t>
  </si>
  <si>
    <t>LIA001</t>
  </si>
  <si>
    <t>Krajská vědecká knihovna v Liberci, příspěvková organizace</t>
  </si>
  <si>
    <t>Rumjancevova 1362/1</t>
  </si>
  <si>
    <t>Liberec</t>
  </si>
  <si>
    <t>LID001</t>
  </si>
  <si>
    <t>Technická univerzita v Liberci - Univerzitní knihovna</t>
  </si>
  <si>
    <t>Voroněžská 13</t>
  </si>
  <si>
    <t>LIG503</t>
  </si>
  <si>
    <t>Podještědské muezum a knihovna Český Dub</t>
  </si>
  <si>
    <t>Kostelní 10/IV</t>
  </si>
  <si>
    <t>Český Dub</t>
  </si>
  <si>
    <t>LIG504</t>
  </si>
  <si>
    <t>Městská knihovna v Hejnicích</t>
  </si>
  <si>
    <t>Nádražní 65</t>
  </si>
  <si>
    <t>Hejnice</t>
  </si>
  <si>
    <t>LIG509</t>
  </si>
  <si>
    <t>Knihovna Vratislavice nad Nisou</t>
  </si>
  <si>
    <t>Nad Školou 1675</t>
  </si>
  <si>
    <t>Vratislavice nad Nisou</t>
  </si>
  <si>
    <t>LIG510</t>
  </si>
  <si>
    <t>Místní knihovna v Šimonovicích</t>
  </si>
  <si>
    <t>Minkovická 70</t>
  </si>
  <si>
    <t>Šimonovice</t>
  </si>
  <si>
    <t>LNG001</t>
  </si>
  <si>
    <t>Městská knihovna Louny</t>
  </si>
  <si>
    <t>Mírové nám. 1</t>
  </si>
  <si>
    <t>Louny</t>
  </si>
  <si>
    <t>LNG501</t>
  </si>
  <si>
    <t>Městská knihovna Žatec</t>
  </si>
  <si>
    <t>Náměstí Svobody 123</t>
  </si>
  <si>
    <t>Žatec</t>
  </si>
  <si>
    <t>LTG001</t>
  </si>
  <si>
    <t>Knihovna Karla Hynka Máchy v Litoměřicích, příspěvková organizace</t>
  </si>
  <si>
    <t>Mírové nám. 26</t>
  </si>
  <si>
    <t>Litoměřice</t>
  </si>
  <si>
    <t>LTG502</t>
  </si>
  <si>
    <t>Kulturní zařízení Města Roudnice nad Labem - Městská knihovna Ervína Špindlera</t>
  </si>
  <si>
    <t>Karlovo nám. 19</t>
  </si>
  <si>
    <t>Roudnice nad Labem</t>
  </si>
  <si>
    <t>LTG503</t>
  </si>
  <si>
    <t>Osvoboditelů 48/55</t>
  </si>
  <si>
    <t>Lovosice</t>
  </si>
  <si>
    <t>LTG506</t>
  </si>
  <si>
    <t>KIZ Štětí - Městská knihovna</t>
  </si>
  <si>
    <t>Obchodní 708</t>
  </si>
  <si>
    <t>Štětí</t>
  </si>
  <si>
    <t>MBG001</t>
  </si>
  <si>
    <t>Knihovna města Mladá Boleslav</t>
  </si>
  <si>
    <t>Václava Klementa 1229</t>
  </si>
  <si>
    <t>Mladá Boleslav</t>
  </si>
  <si>
    <t>MBG002</t>
  </si>
  <si>
    <t>Městská knihovna Mnichovo Hradiště</t>
  </si>
  <si>
    <t>Turnovská 717</t>
  </si>
  <si>
    <t>Mnichovo Hradiště</t>
  </si>
  <si>
    <t>MBG003</t>
  </si>
  <si>
    <t>Místní knihovna Dolní Stakory</t>
  </si>
  <si>
    <t>Dolní Stakory 48</t>
  </si>
  <si>
    <t>Dolní Stakory</t>
  </si>
  <si>
    <t>MBG004</t>
  </si>
  <si>
    <t>Místní knihovna Vinec</t>
  </si>
  <si>
    <t>Vinec 49</t>
  </si>
  <si>
    <t>Vinec</t>
  </si>
  <si>
    <t>MBG501</t>
  </si>
  <si>
    <t>Městská knihovna Benátky nad Jizerou</t>
  </si>
  <si>
    <t>Lidická 43</t>
  </si>
  <si>
    <t>Benátky nad Jizerou</t>
  </si>
  <si>
    <t>MBG502</t>
  </si>
  <si>
    <t>ul. 9.května 109</t>
  </si>
  <si>
    <t>Dobrovice</t>
  </si>
  <si>
    <t>MBG503</t>
  </si>
  <si>
    <t>Debřská 223</t>
  </si>
  <si>
    <t>Kosmonosy</t>
  </si>
  <si>
    <t>MBG504</t>
  </si>
  <si>
    <t>Městská knihovna a infocentrum</t>
  </si>
  <si>
    <t>Kostelní 141</t>
  </si>
  <si>
    <t>Dolní Bousov</t>
  </si>
  <si>
    <t>MBG505</t>
  </si>
  <si>
    <t>Městská knihovna Vladimíra Holana</t>
  </si>
  <si>
    <t>Masarykovo náměstí 140</t>
  </si>
  <si>
    <t>Bělá pod Bezdězem</t>
  </si>
  <si>
    <t>MBG506</t>
  </si>
  <si>
    <t>Obecní knihovna Kněžmost</t>
  </si>
  <si>
    <t>U Střediska 24</t>
  </si>
  <si>
    <t>Kněžmost</t>
  </si>
  <si>
    <t>MBG507</t>
  </si>
  <si>
    <t>Městská knihovna Bakov nad Jizerou</t>
  </si>
  <si>
    <t>Mírové nám. 84</t>
  </si>
  <si>
    <t>Bakov nad Jizerou</t>
  </si>
  <si>
    <t>MBG508</t>
  </si>
  <si>
    <t>Místní knihovna Luštěnice</t>
  </si>
  <si>
    <t>Pod Humny 7</t>
  </si>
  <si>
    <t>Luštěnice</t>
  </si>
  <si>
    <t>MBG509</t>
  </si>
  <si>
    <t>Obecní knihovna Bezno</t>
  </si>
  <si>
    <t>Boleslavská 154</t>
  </si>
  <si>
    <t>Bezno</t>
  </si>
  <si>
    <t>MBG510</t>
  </si>
  <si>
    <t>Místní knihovna v Jivině</t>
  </si>
  <si>
    <t>Jivina 9</t>
  </si>
  <si>
    <t>Jivina</t>
  </si>
  <si>
    <t>MBG511</t>
  </si>
  <si>
    <t>Místní knihovna Katusice</t>
  </si>
  <si>
    <t>Mšenská 187</t>
  </si>
  <si>
    <t>Katusice</t>
  </si>
  <si>
    <t>MBG512</t>
  </si>
  <si>
    <t>Místní knihovna v Předměřicích nad Jizerou</t>
  </si>
  <si>
    <t>Předměřice nad Jizerou 132</t>
  </si>
  <si>
    <t>Předměřice nad Jizerou</t>
  </si>
  <si>
    <t>MBG513</t>
  </si>
  <si>
    <t>Místní knihovna Čachovice</t>
  </si>
  <si>
    <t>6. května 76</t>
  </si>
  <si>
    <t>Čachovice</t>
  </si>
  <si>
    <t>MBG514</t>
  </si>
  <si>
    <t>Místní knihovna Struhy</t>
  </si>
  <si>
    <t>Struhy 72</t>
  </si>
  <si>
    <t>Struhy</t>
  </si>
  <si>
    <t>MBG515</t>
  </si>
  <si>
    <t>Místní knihovna v Kochánkách</t>
  </si>
  <si>
    <t>Kochánky 201</t>
  </si>
  <si>
    <t>Kochánky</t>
  </si>
  <si>
    <t>MBG516</t>
  </si>
  <si>
    <t>Obecní knihovna v Mečeříži</t>
  </si>
  <si>
    <t>Mečeříž 50</t>
  </si>
  <si>
    <t>Mečeříž</t>
  </si>
  <si>
    <t>MBG518</t>
  </si>
  <si>
    <t>Obecní knihovna v Sukoradech</t>
  </si>
  <si>
    <t>Sukorady 87</t>
  </si>
  <si>
    <t>Sukorady</t>
  </si>
  <si>
    <t>MBG519</t>
  </si>
  <si>
    <t>Místní knihovna Bukovno</t>
  </si>
  <si>
    <t>Bukovno 63</t>
  </si>
  <si>
    <t>Bukovno</t>
  </si>
  <si>
    <t>MBG520</t>
  </si>
  <si>
    <t>Místní knihovna Líny</t>
  </si>
  <si>
    <t>Líny</t>
  </si>
  <si>
    <t>MBG521</t>
  </si>
  <si>
    <t>Obecní knihovna Semčice</t>
  </si>
  <si>
    <t>Semčice 41</t>
  </si>
  <si>
    <t>Semčice</t>
  </si>
  <si>
    <t>MBG522</t>
  </si>
  <si>
    <t>Obecní knihovna Dolní Slivno</t>
  </si>
  <si>
    <t>Dolní Slivno 42</t>
  </si>
  <si>
    <t>Dolní Slivno</t>
  </si>
  <si>
    <t>MBG523</t>
  </si>
  <si>
    <t>Obecní knihovna Strašnov</t>
  </si>
  <si>
    <t>Strašnov 85</t>
  </si>
  <si>
    <t>Strašnov</t>
  </si>
  <si>
    <t>MBG524</t>
  </si>
  <si>
    <t>Místní knihovna Koryta</t>
  </si>
  <si>
    <t>Koryta</t>
  </si>
  <si>
    <t>MBG525</t>
  </si>
  <si>
    <t>Obecní knihovna v Loukově</t>
  </si>
  <si>
    <t>Loukov 81</t>
  </si>
  <si>
    <t>Loukov</t>
  </si>
  <si>
    <t>MBG526</t>
  </si>
  <si>
    <t>Obecní knihovna Horní Bukovina</t>
  </si>
  <si>
    <t>Horní Bukovina</t>
  </si>
  <si>
    <t>MBG527</t>
  </si>
  <si>
    <t>Místní knihovna v Kovánci</t>
  </si>
  <si>
    <t>Kovánec 61</t>
  </si>
  <si>
    <t>Kovanec</t>
  </si>
  <si>
    <t>MBG528</t>
  </si>
  <si>
    <t>Místní knihovna Žerčice</t>
  </si>
  <si>
    <t>Žerčice 23</t>
  </si>
  <si>
    <t>Žerčice</t>
  </si>
  <si>
    <t>MBG529</t>
  </si>
  <si>
    <t>Místní knihovna Sezemice</t>
  </si>
  <si>
    <t>Sezemice 13</t>
  </si>
  <si>
    <t>Sezemice</t>
  </si>
  <si>
    <t>MBG530</t>
  </si>
  <si>
    <t>Obecní knihovna v Lipníku</t>
  </si>
  <si>
    <t>Lipník 456</t>
  </si>
  <si>
    <t>Lipník</t>
  </si>
  <si>
    <t>MBG531</t>
  </si>
  <si>
    <t>Obecní knihovna Bradlec</t>
  </si>
  <si>
    <t>Bezdězská 9</t>
  </si>
  <si>
    <t>Bradlec</t>
  </si>
  <si>
    <t>MBG532</t>
  </si>
  <si>
    <t>Obecní knihovna Sojovice</t>
  </si>
  <si>
    <t>Sojovice 33</t>
  </si>
  <si>
    <t>Sojovice</t>
  </si>
  <si>
    <t>MBG533</t>
  </si>
  <si>
    <t>Místní knihovna Ledce</t>
  </si>
  <si>
    <t>Ledce 120</t>
  </si>
  <si>
    <t>Ledce</t>
  </si>
  <si>
    <t>MBG534</t>
  </si>
  <si>
    <t>Místní knihovna Smilovice</t>
  </si>
  <si>
    <t>Smilovice 11</t>
  </si>
  <si>
    <t>Smilovice</t>
  </si>
  <si>
    <t>MBG535</t>
  </si>
  <si>
    <t>Místní knihovna Domousnice</t>
  </si>
  <si>
    <t>Domousnice 19</t>
  </si>
  <si>
    <t>Domousnice</t>
  </si>
  <si>
    <t>MBG536</t>
  </si>
  <si>
    <t>Obecní knihovna Velké Všelisy</t>
  </si>
  <si>
    <t>Velké Všelisy 81</t>
  </si>
  <si>
    <t>Velké Všelisy</t>
  </si>
  <si>
    <t>MBG537</t>
  </si>
  <si>
    <t>Místní knihovna v Chocnějovicích</t>
  </si>
  <si>
    <t>Chocnějovice 43</t>
  </si>
  <si>
    <t>Chocnějovice</t>
  </si>
  <si>
    <t>MBG538</t>
  </si>
  <si>
    <t>Místní knihovna v Ouči</t>
  </si>
  <si>
    <t>Ouč</t>
  </si>
  <si>
    <t>MBG539</t>
  </si>
  <si>
    <t>Místní knihovna Přepeře</t>
  </si>
  <si>
    <t>Přepeře 12</t>
  </si>
  <si>
    <t>Přepeře</t>
  </si>
  <si>
    <t>MBG540</t>
  </si>
  <si>
    <t>Místní knihovna Skalsko</t>
  </si>
  <si>
    <t>Skalsko 89</t>
  </si>
  <si>
    <t>Skalsko</t>
  </si>
  <si>
    <t>MBG541</t>
  </si>
  <si>
    <t>Obecní knihovna Klášter Hradiště nad Jizerou</t>
  </si>
  <si>
    <t>Klášter Hradiště nad Jizerou 250</t>
  </si>
  <si>
    <t>Klášter Hradiště nad Jizerou</t>
  </si>
  <si>
    <t>MBG542</t>
  </si>
  <si>
    <t>Místní knihovna Březno</t>
  </si>
  <si>
    <t>Březno 13</t>
  </si>
  <si>
    <t>Březno</t>
  </si>
  <si>
    <t>MBG543</t>
  </si>
  <si>
    <t>Místní lidová knihovna Husí Lhota</t>
  </si>
  <si>
    <t>Husí Lhota 31</t>
  </si>
  <si>
    <t>Husí Lhota</t>
  </si>
  <si>
    <t>MBG544</t>
  </si>
  <si>
    <t>Místní knihovna Jizerní Vtelno</t>
  </si>
  <si>
    <t>Jizerní Vtelno 70</t>
  </si>
  <si>
    <t>Jizerní Vtelno</t>
  </si>
  <si>
    <t>MBG545</t>
  </si>
  <si>
    <t>Místní knihovna Dalešice</t>
  </si>
  <si>
    <t>Dalešice 14</t>
  </si>
  <si>
    <t>Dalešice</t>
  </si>
  <si>
    <t>MBG546</t>
  </si>
  <si>
    <t>Místní knihovna Chudíř</t>
  </si>
  <si>
    <t>Chudíř 16</t>
  </si>
  <si>
    <t>Chudíř</t>
  </si>
  <si>
    <t>MBG547</t>
  </si>
  <si>
    <t>Obecní knihovna v Nové Vsi u Bakova nad Jizerou</t>
  </si>
  <si>
    <t>Nová Ves u Bakova 85</t>
  </si>
  <si>
    <t>Nová Ves u Bakova</t>
  </si>
  <si>
    <t>MBG548</t>
  </si>
  <si>
    <t>Místní knihovna Židněves</t>
  </si>
  <si>
    <t>Židněves 13</t>
  </si>
  <si>
    <t>Židněves</t>
  </si>
  <si>
    <t>MBG549</t>
  </si>
  <si>
    <t>Obecní knihovna Josefův Důl</t>
  </si>
  <si>
    <t>Josefův Důl 6</t>
  </si>
  <si>
    <t>Josefův Důl</t>
  </si>
  <si>
    <t>MBG550</t>
  </si>
  <si>
    <t>Místní knihovna Kosořice</t>
  </si>
  <si>
    <t>Kosořice 45</t>
  </si>
  <si>
    <t>Kosořice</t>
  </si>
  <si>
    <t>MBG551</t>
  </si>
  <si>
    <t>Místní knihovna Petkovy</t>
  </si>
  <si>
    <t>Petkovy 57</t>
  </si>
  <si>
    <t>Petkovy</t>
  </si>
  <si>
    <t>MBG552</t>
  </si>
  <si>
    <t>Místní knihovna v Němčicích</t>
  </si>
  <si>
    <t>Němčice 8</t>
  </si>
  <si>
    <t>Němčice</t>
  </si>
  <si>
    <t>MBG553</t>
  </si>
  <si>
    <t>Místní knihovna Dolní Krupá</t>
  </si>
  <si>
    <t>Dolní Krupá 15</t>
  </si>
  <si>
    <t>Dolní Krupá</t>
  </si>
  <si>
    <t>MBG554</t>
  </si>
  <si>
    <t>Místní knihovna v Čisté</t>
  </si>
  <si>
    <t>Čistá 123</t>
  </si>
  <si>
    <t>Čistá u Mladé Boleslavi</t>
  </si>
  <si>
    <t>MBG555</t>
  </si>
  <si>
    <t>Místní knihovna v Brodcích</t>
  </si>
  <si>
    <t>Dobrovická 34</t>
  </si>
  <si>
    <t>Brodce n.Jiz.</t>
  </si>
  <si>
    <t>MBG556</t>
  </si>
  <si>
    <t>Obecní knihovna Loukovec</t>
  </si>
  <si>
    <t>Loukovec 90</t>
  </si>
  <si>
    <t>Loukovec</t>
  </si>
  <si>
    <t>MBG557</t>
  </si>
  <si>
    <t>Obecní knihovna Jabkenice</t>
  </si>
  <si>
    <t>Jabkenice 136</t>
  </si>
  <si>
    <t>Jabkenice</t>
  </si>
  <si>
    <t>MBG558</t>
  </si>
  <si>
    <t>Obecní knihovna Chotětov</t>
  </si>
  <si>
    <t>9. května 2</t>
  </si>
  <si>
    <t>Chotětov</t>
  </si>
  <si>
    <t>MBG559</t>
  </si>
  <si>
    <t>Obecní knihovna Vinařice</t>
  </si>
  <si>
    <t>Vinařice 65</t>
  </si>
  <si>
    <t>Vinařice</t>
  </si>
  <si>
    <t>MBG560</t>
  </si>
  <si>
    <t>Obecní knihovna Nová Telib</t>
  </si>
  <si>
    <t>Nová Telib</t>
  </si>
  <si>
    <t>MBG562</t>
  </si>
  <si>
    <t>Místní knihovna Rohatsko</t>
  </si>
  <si>
    <t>Rohatsko 15</t>
  </si>
  <si>
    <t>Rohatsko</t>
  </si>
  <si>
    <t>MBG563</t>
  </si>
  <si>
    <t>Obecní knihovna v Mohelnici nad Jizerou</t>
  </si>
  <si>
    <t>Mohelnice nad Jizerou 48</t>
  </si>
  <si>
    <t>Mohelnice nad Jizerou</t>
  </si>
  <si>
    <t>MBG564</t>
  </si>
  <si>
    <t>Obecní knihovna Březina</t>
  </si>
  <si>
    <t>Březina 82</t>
  </si>
  <si>
    <t>Březina</t>
  </si>
  <si>
    <t>MBG565</t>
  </si>
  <si>
    <t>Místní knihovna v Nepřevázce</t>
  </si>
  <si>
    <t>Nepřevázka 49</t>
  </si>
  <si>
    <t>Nepřevázka</t>
  </si>
  <si>
    <t>MBG566</t>
  </si>
  <si>
    <t>Místní knihovna Kobylnice</t>
  </si>
  <si>
    <t>Kobylnice 8</t>
  </si>
  <si>
    <t>Kobylnice</t>
  </si>
  <si>
    <t>MBG567</t>
  </si>
  <si>
    <t>Obecní knihovna Řepov</t>
  </si>
  <si>
    <t>Řepov 36</t>
  </si>
  <si>
    <t>Řepov</t>
  </si>
  <si>
    <t>MBG568</t>
  </si>
  <si>
    <t>Obecní knihovna Dobšín</t>
  </si>
  <si>
    <t>Dobšín 41</t>
  </si>
  <si>
    <t>Dobšín</t>
  </si>
  <si>
    <t>MBG571</t>
  </si>
  <si>
    <t>Místní lidová knihovna v Pískové Lhotě</t>
  </si>
  <si>
    <t>Písková Lhota 40</t>
  </si>
  <si>
    <t>Písková Lhota</t>
  </si>
  <si>
    <t>MBG572</t>
  </si>
  <si>
    <t>Místní lidová knihovna Horní Stakory</t>
  </si>
  <si>
    <t>Horní Stakory 54</t>
  </si>
  <si>
    <t>Horní Stakory</t>
  </si>
  <si>
    <t>MEG001</t>
  </si>
  <si>
    <t>Mělnické kulturní centrum, o. p. s. - městská knihovna</t>
  </si>
  <si>
    <t>Husova 40-41</t>
  </si>
  <si>
    <t>Mělník</t>
  </si>
  <si>
    <t>MEG501</t>
  </si>
  <si>
    <t>Jodlova 111</t>
  </si>
  <si>
    <t>Kralupy nad Vltavou</t>
  </si>
  <si>
    <t>MEG502</t>
  </si>
  <si>
    <t>Městská knihovna Neratovice</t>
  </si>
  <si>
    <t>nám. Republiky 400</t>
  </si>
  <si>
    <t>Neratovice</t>
  </si>
  <si>
    <t>MEG504</t>
  </si>
  <si>
    <t>Mšeno</t>
  </si>
  <si>
    <t>MEG505</t>
  </si>
  <si>
    <t>Městská knihovna Kostelec nad Labem</t>
  </si>
  <si>
    <t>Neratovická 238</t>
  </si>
  <si>
    <t>Kostelec nad Labem</t>
  </si>
  <si>
    <t>MEG506</t>
  </si>
  <si>
    <t>Rumburská 40</t>
  </si>
  <si>
    <t>Liběchov</t>
  </si>
  <si>
    <t>MEG508</t>
  </si>
  <si>
    <t>Místní knihovna Byšice</t>
  </si>
  <si>
    <t>Tyršovo nám. 153</t>
  </si>
  <si>
    <t>Byšice</t>
  </si>
  <si>
    <t>MEG510</t>
  </si>
  <si>
    <t>Místní knihovna Obříství</t>
  </si>
  <si>
    <t>Školní 84</t>
  </si>
  <si>
    <t>Obříství</t>
  </si>
  <si>
    <t>MEG511</t>
  </si>
  <si>
    <t>Místní knihovna v Kanině</t>
  </si>
  <si>
    <t>Kanina 34</t>
  </si>
  <si>
    <t>Kanina</t>
  </si>
  <si>
    <t>MEG512</t>
  </si>
  <si>
    <t>Místní knihovna Velký Borek</t>
  </si>
  <si>
    <t>Vrutická 207</t>
  </si>
  <si>
    <t>Velký Borek</t>
  </si>
  <si>
    <t>MEG513</t>
  </si>
  <si>
    <t>Tupadly 4</t>
  </si>
  <si>
    <t>MEG514</t>
  </si>
  <si>
    <t>Místní knihovna ve Vidimi</t>
  </si>
  <si>
    <t>Vidim 4</t>
  </si>
  <si>
    <t>Vidim</t>
  </si>
  <si>
    <t>MEG515</t>
  </si>
  <si>
    <t>Místní knihovna Střemy</t>
  </si>
  <si>
    <t>Střemy 4</t>
  </si>
  <si>
    <t>Střemy</t>
  </si>
  <si>
    <t>MEG516</t>
  </si>
  <si>
    <t>Místní knihovna v Nebuželích</t>
  </si>
  <si>
    <t>Nebužely 14</t>
  </si>
  <si>
    <t>Nebužely</t>
  </si>
  <si>
    <t>MEG517</t>
  </si>
  <si>
    <t>Místní knihovna v Chorušicích</t>
  </si>
  <si>
    <t>Chorušice 99</t>
  </si>
  <si>
    <t>Chorušice</t>
  </si>
  <si>
    <t>MEG518</t>
  </si>
  <si>
    <t>Místní knihovna ve Velkém Újezdě</t>
  </si>
  <si>
    <t>Velký Újezd 51</t>
  </si>
  <si>
    <t>Velký Újezd</t>
  </si>
  <si>
    <t>MEG519</t>
  </si>
  <si>
    <t>Místní knihovna v Kokoříně</t>
  </si>
  <si>
    <t>Kokořín 52</t>
  </si>
  <si>
    <t>Kokořín</t>
  </si>
  <si>
    <t>MEG520</t>
  </si>
  <si>
    <t>Obecní knihovna Lhota</t>
  </si>
  <si>
    <t>Boleslavská 47</t>
  </si>
  <si>
    <t>Lhota</t>
  </si>
  <si>
    <t>MEG523</t>
  </si>
  <si>
    <t>Místní knihovna ve Vysoké</t>
  </si>
  <si>
    <t>Vysoká 32</t>
  </si>
  <si>
    <t>Vysoká</t>
  </si>
  <si>
    <t>MEG524</t>
  </si>
  <si>
    <t>Místní knihovna v Hoříně</t>
  </si>
  <si>
    <t>Hořín 19</t>
  </si>
  <si>
    <t>Hořín</t>
  </si>
  <si>
    <t>MEG525</t>
  </si>
  <si>
    <t>Obecní knihovna Libiš</t>
  </si>
  <si>
    <t>Mělnická 579</t>
  </si>
  <si>
    <t>Libiš</t>
  </si>
  <si>
    <t>MEG526</t>
  </si>
  <si>
    <t>Místní knihovna Dolní Beřkovice</t>
  </si>
  <si>
    <t>Vliněves 42</t>
  </si>
  <si>
    <t>Dolní Beřkovice</t>
  </si>
  <si>
    <t>MEG527</t>
  </si>
  <si>
    <t>Místní knihovna v Želízích</t>
  </si>
  <si>
    <t>Želízy 46</t>
  </si>
  <si>
    <t>Želízy</t>
  </si>
  <si>
    <t>MEG528</t>
  </si>
  <si>
    <t>Místní knihovna Kadlín</t>
  </si>
  <si>
    <t>Kadlín 8</t>
  </si>
  <si>
    <t>Kadlín</t>
  </si>
  <si>
    <t>MEG531</t>
  </si>
  <si>
    <t>Místní knihovna v Zárybech</t>
  </si>
  <si>
    <t>Záryby 30</t>
  </si>
  <si>
    <t>Záryby</t>
  </si>
  <si>
    <t>MEG533</t>
  </si>
  <si>
    <t>Místní knihovna v Lužci nad Vltavou</t>
  </si>
  <si>
    <t>1. máje 176</t>
  </si>
  <si>
    <t>Lužec nad Vltavou</t>
  </si>
  <si>
    <t>MEG534</t>
  </si>
  <si>
    <t>Místní knihovna v Mělnickém Vtelně</t>
  </si>
  <si>
    <t>Mělnická 49</t>
  </si>
  <si>
    <t>Mělnické Vtelno</t>
  </si>
  <si>
    <t>MEG535</t>
  </si>
  <si>
    <t>Místní lidová knihovna Čečelice</t>
  </si>
  <si>
    <t>Všetatská 41</t>
  </si>
  <si>
    <t>Čečelice</t>
  </si>
  <si>
    <t>MEG537</t>
  </si>
  <si>
    <t>Místní knihovna ve Lhotce</t>
  </si>
  <si>
    <t>Lhotka č.p. 55</t>
  </si>
  <si>
    <t>Lhotka</t>
  </si>
  <si>
    <t>MEG539</t>
  </si>
  <si>
    <t>Místní knihovna Dřínov</t>
  </si>
  <si>
    <t>Dřínov č.p. 38</t>
  </si>
  <si>
    <t>Dřínov</t>
  </si>
  <si>
    <t>MEG540</t>
  </si>
  <si>
    <t>Obecní knihovna v Liblicích</t>
  </si>
  <si>
    <t>Liblice</t>
  </si>
  <si>
    <t>MEG542</t>
  </si>
  <si>
    <t>Obecní knihovna Řepín</t>
  </si>
  <si>
    <t>Hlavní 3</t>
  </si>
  <si>
    <t>Řepín</t>
  </si>
  <si>
    <t>MEG544</t>
  </si>
  <si>
    <t>Obecní knihovna Postřižín</t>
  </si>
  <si>
    <t>Pražská 42</t>
  </si>
  <si>
    <t>Postřižín</t>
  </si>
  <si>
    <t>MOG001</t>
  </si>
  <si>
    <t>Městská knihovna Most, příspěvková organizace</t>
  </si>
  <si>
    <t>Moskevská 12</t>
  </si>
  <si>
    <t>Most</t>
  </si>
  <si>
    <t>MOG006</t>
  </si>
  <si>
    <t>Místní lidová knihovna v Bělušicích</t>
  </si>
  <si>
    <t>Bělušice 64</t>
  </si>
  <si>
    <t>Bělušice</t>
  </si>
  <si>
    <t>MOG501</t>
  </si>
  <si>
    <t>Městská knihovna Litvínov</t>
  </si>
  <si>
    <t>Soukenická 982</t>
  </si>
  <si>
    <t>Litvínov</t>
  </si>
  <si>
    <t>NAG001</t>
  </si>
  <si>
    <t>Městská knihovna Náchod, o.p.s.</t>
  </si>
  <si>
    <t>Kamenice 105</t>
  </si>
  <si>
    <t>Náchod</t>
  </si>
  <si>
    <t>NAG002</t>
  </si>
  <si>
    <t>Obecní knihovna v Trubějově</t>
  </si>
  <si>
    <t>Trubějov 13</t>
  </si>
  <si>
    <t>Trubějov</t>
  </si>
  <si>
    <t>NAG502</t>
  </si>
  <si>
    <t>Městská knihovna Jaroměř</t>
  </si>
  <si>
    <t>Vojtěcha Probošta 180</t>
  </si>
  <si>
    <t>Jaroměř</t>
  </si>
  <si>
    <t>NAG503</t>
  </si>
  <si>
    <t>Knihovna Břetislava Kafky Červený Kostelec</t>
  </si>
  <si>
    <t>Sokolská 293</t>
  </si>
  <si>
    <t>Červený Kostelec</t>
  </si>
  <si>
    <t>NAG504</t>
  </si>
  <si>
    <t>Knihovna města Police nad Metují</t>
  </si>
  <si>
    <t>Masarykovo náměstí 75</t>
  </si>
  <si>
    <t>Police nad Metují</t>
  </si>
  <si>
    <t>NAG506</t>
  </si>
  <si>
    <t>Obecní knihovna Hořičky</t>
  </si>
  <si>
    <t>Hořičky 4</t>
  </si>
  <si>
    <t>Hořičky</t>
  </si>
  <si>
    <t>NAG507</t>
  </si>
  <si>
    <t>Městská knihovna Nové Město nad Metují</t>
  </si>
  <si>
    <t>Komenského 30</t>
  </si>
  <si>
    <t>Nové Město nad Metují</t>
  </si>
  <si>
    <t>NAG508</t>
  </si>
  <si>
    <t>Městská knihovna v Broumově</t>
  </si>
  <si>
    <t>Mírové nám. 52</t>
  </si>
  <si>
    <t>Broumov</t>
  </si>
  <si>
    <t>NAG509</t>
  </si>
  <si>
    <t>Městská knihovna Egona Hostovského</t>
  </si>
  <si>
    <t>Komenského nám. 8</t>
  </si>
  <si>
    <t>Hronov</t>
  </si>
  <si>
    <t>NAG512</t>
  </si>
  <si>
    <t>Místní knihovna ve Chvalkovicích</t>
  </si>
  <si>
    <t>Chvalkovice 130</t>
  </si>
  <si>
    <t>Chvalkovice</t>
  </si>
  <si>
    <t>NAG515</t>
  </si>
  <si>
    <t>Obecní knihovna Adršpach</t>
  </si>
  <si>
    <t>Horní Adršpach 115</t>
  </si>
  <si>
    <t>Adršpach</t>
  </si>
  <si>
    <t>NAG518</t>
  </si>
  <si>
    <t>Obecní knihovna v Hejtmánkovicích</t>
  </si>
  <si>
    <t>Hejtmánkovice 203</t>
  </si>
  <si>
    <t>Hejtmánkovice</t>
  </si>
  <si>
    <t>NAG519</t>
  </si>
  <si>
    <t>Místní knihovna Křinice</t>
  </si>
  <si>
    <t>Křinice 176</t>
  </si>
  <si>
    <t>Křinice</t>
  </si>
  <si>
    <t>NAG522</t>
  </si>
  <si>
    <t>Obecní knihovna Česká Čermná</t>
  </si>
  <si>
    <t>Česká Čermná 128</t>
  </si>
  <si>
    <t>Česká Čermná</t>
  </si>
  <si>
    <t>NAG525</t>
  </si>
  <si>
    <t>Obecní knihovna v Říkově</t>
  </si>
  <si>
    <t>Říkov 51</t>
  </si>
  <si>
    <t>Říkov</t>
  </si>
  <si>
    <t>NAG527</t>
  </si>
  <si>
    <t>Místní lidová knihovna Dolní Radechová</t>
  </si>
  <si>
    <t>Náchodská 117</t>
  </si>
  <si>
    <t>Dolní Radechová</t>
  </si>
  <si>
    <t>NAG529</t>
  </si>
  <si>
    <t>Obecní knihovna v Heřmánkovicích</t>
  </si>
  <si>
    <t>Heřmánkovice 263</t>
  </si>
  <si>
    <t>Heřmánkovice</t>
  </si>
  <si>
    <t>NAG538</t>
  </si>
  <si>
    <t>Obecní knihovna v Jetřichově</t>
  </si>
  <si>
    <t>Jetřichov</t>
  </si>
  <si>
    <t>NAG540</t>
  </si>
  <si>
    <t>Obecní knihovna Martínkovice</t>
  </si>
  <si>
    <t>Martínkovice 240</t>
  </si>
  <si>
    <t>Martínkovice</t>
  </si>
  <si>
    <t>NAG544</t>
  </si>
  <si>
    <t>Obecní knihovna v Kramolně</t>
  </si>
  <si>
    <t>Kramolna 172</t>
  </si>
  <si>
    <t>Kramolna</t>
  </si>
  <si>
    <t>NAG548</t>
  </si>
  <si>
    <t>Obecní knihovna v Novém Hrádku</t>
  </si>
  <si>
    <t>Hradní 102</t>
  </si>
  <si>
    <t>Nový Hrádek</t>
  </si>
  <si>
    <t>NAG549</t>
  </si>
  <si>
    <t>Obecní knihovna Otovice</t>
  </si>
  <si>
    <t>Otovice 196</t>
  </si>
  <si>
    <t>Otovice</t>
  </si>
  <si>
    <t>NAG559</t>
  </si>
  <si>
    <t>Obecní knihovna Stárkov</t>
  </si>
  <si>
    <t>Stárkov 87</t>
  </si>
  <si>
    <t>Stárkov</t>
  </si>
  <si>
    <t>NAG560</t>
  </si>
  <si>
    <t>Obecní knihovna ve Studnici</t>
  </si>
  <si>
    <t>Studnice 1</t>
  </si>
  <si>
    <t>Studnice</t>
  </si>
  <si>
    <t>NAG562</t>
  </si>
  <si>
    <t>Obecní knihovna Řešetova Lhota</t>
  </si>
  <si>
    <t>Řešetova Lhota 2</t>
  </si>
  <si>
    <t>Řešetova Lhota</t>
  </si>
  <si>
    <t>NAG564</t>
  </si>
  <si>
    <t>Obecní knihovna v Šonově</t>
  </si>
  <si>
    <t>Šonov 318</t>
  </si>
  <si>
    <t>Šonov u Broumova</t>
  </si>
  <si>
    <t>NAG568</t>
  </si>
  <si>
    <t>Obecní knihovna ve Vysokově</t>
  </si>
  <si>
    <t>Vysokov 108</t>
  </si>
  <si>
    <t>Vysokov</t>
  </si>
  <si>
    <t>NAG570</t>
  </si>
  <si>
    <t>Obecní knihovna ve Žďárkách</t>
  </si>
  <si>
    <t>Žďárky 35</t>
  </si>
  <si>
    <t>Žďárky</t>
  </si>
  <si>
    <t>NBG001</t>
  </si>
  <si>
    <t>Městská knihovna Nymburk</t>
  </si>
  <si>
    <t>Palackého tř. 1749</t>
  </si>
  <si>
    <t>Nymburk</t>
  </si>
  <si>
    <t>NBG002</t>
  </si>
  <si>
    <t>Obecní knihovna Kovanice</t>
  </si>
  <si>
    <t>Kovanice 101</t>
  </si>
  <si>
    <t>Kovanice</t>
  </si>
  <si>
    <t>NBG003</t>
  </si>
  <si>
    <t>Obecní knihovna v Kamenném Zboží</t>
  </si>
  <si>
    <t>Kamenné Zboží 180</t>
  </si>
  <si>
    <t>Kamenné Zboží</t>
  </si>
  <si>
    <t>NBG004</t>
  </si>
  <si>
    <t>Obecní knihovna ve Všechlapech</t>
  </si>
  <si>
    <t>Ronovská 200</t>
  </si>
  <si>
    <t>Všechlapy - NY</t>
  </si>
  <si>
    <t>NBG005</t>
  </si>
  <si>
    <t>Obecní knihovna v Budiměřicích</t>
  </si>
  <si>
    <t>Budiměřice 7</t>
  </si>
  <si>
    <t>Budiměřice</t>
  </si>
  <si>
    <t>NBG006</t>
  </si>
  <si>
    <t>Obecní knihovna v Jizbicích</t>
  </si>
  <si>
    <t>Jizbice 72</t>
  </si>
  <si>
    <t>Jizbice</t>
  </si>
  <si>
    <t>NBG007</t>
  </si>
  <si>
    <t>Krchleby 36</t>
  </si>
  <si>
    <t>NBG501</t>
  </si>
  <si>
    <t>Městská knihovna Lysá nad Labem</t>
  </si>
  <si>
    <t>Husovo nám. 23</t>
  </si>
  <si>
    <t>Lysá nad Labem</t>
  </si>
  <si>
    <t>NBG502</t>
  </si>
  <si>
    <t>Město Poděbrady-Městská knihovna Poděbrady, organizační složka města Poděbrad</t>
  </si>
  <si>
    <t>Jiřího nám. 41</t>
  </si>
  <si>
    <t>Poděbrady</t>
  </si>
  <si>
    <t>Půjčuje zvukové záznamy též z výměnných souborů - bezplatně</t>
  </si>
  <si>
    <t>NBG503</t>
  </si>
  <si>
    <t>Městská knihovna v Městci Králové</t>
  </si>
  <si>
    <t>Nám. Republiky 303</t>
  </si>
  <si>
    <t>Městec Králové</t>
  </si>
  <si>
    <t>NBG504</t>
  </si>
  <si>
    <t>Městská knihovna Karla Viky</t>
  </si>
  <si>
    <t>Palackého nám. 3</t>
  </si>
  <si>
    <t>Sadská</t>
  </si>
  <si>
    <t>NBG505</t>
  </si>
  <si>
    <t>Víceúčelové kulturní zařízení - Městská knihovna</t>
  </si>
  <si>
    <t>nám. 30. června 508</t>
  </si>
  <si>
    <t>NBG506</t>
  </si>
  <si>
    <t>Ke školce 340</t>
  </si>
  <si>
    <t>Křinec</t>
  </si>
  <si>
    <t>NBG507</t>
  </si>
  <si>
    <t>Knihovna Rožďalovice</t>
  </si>
  <si>
    <t>Husova 146 - stará škola</t>
  </si>
  <si>
    <t>Rožďalovice</t>
  </si>
  <si>
    <t>NBG508</t>
  </si>
  <si>
    <t>Žehuň 11</t>
  </si>
  <si>
    <t>Žehuň</t>
  </si>
  <si>
    <t>NBG509</t>
  </si>
  <si>
    <t>Obecní knihovna Chroustov</t>
  </si>
  <si>
    <t>Chroustov 81</t>
  </si>
  <si>
    <t>Chroustov</t>
  </si>
  <si>
    <t>NBG510</t>
  </si>
  <si>
    <t>Obecní knihovna v Dobšicích</t>
  </si>
  <si>
    <t>Dobšice 18</t>
  </si>
  <si>
    <t>NBG511</t>
  </si>
  <si>
    <t>Obecní knihovna Kostomlaty nad Labem</t>
  </si>
  <si>
    <t>Školní 402</t>
  </si>
  <si>
    <t>Kostomlaty nad Labem</t>
  </si>
  <si>
    <t>NBG512</t>
  </si>
  <si>
    <t>Obecní knihovna v Okřínku</t>
  </si>
  <si>
    <t>Okřínek 63</t>
  </si>
  <si>
    <t>Okřínek</t>
  </si>
  <si>
    <t>NBG513</t>
  </si>
  <si>
    <t>Obecní knihovna Choťánky</t>
  </si>
  <si>
    <t>Choťánky 24</t>
  </si>
  <si>
    <t>Choťánky</t>
  </si>
  <si>
    <t>NBG514</t>
  </si>
  <si>
    <t>Obecní knihovna obce Ostrá</t>
  </si>
  <si>
    <t>Ostrá 172</t>
  </si>
  <si>
    <t>Ostrá</t>
  </si>
  <si>
    <t>NBG515</t>
  </si>
  <si>
    <t>Obecní knihovna v Hradčanech</t>
  </si>
  <si>
    <t>Hradčany 74</t>
  </si>
  <si>
    <t>NBG516</t>
  </si>
  <si>
    <t>Obecní knihovna Úmyslovice</t>
  </si>
  <si>
    <t>Úmyslovice 58</t>
  </si>
  <si>
    <t>Úmyslovice</t>
  </si>
  <si>
    <t>NBG517</t>
  </si>
  <si>
    <t>Obecní knihovna Kounice</t>
  </si>
  <si>
    <t>Kounice 124</t>
  </si>
  <si>
    <t>Kounice</t>
  </si>
  <si>
    <t>NBG518</t>
  </si>
  <si>
    <t>Obecní knihovna Oskořínek</t>
  </si>
  <si>
    <t>Oskořínek 3</t>
  </si>
  <si>
    <t>Oskořínek</t>
  </si>
  <si>
    <t>NBG519</t>
  </si>
  <si>
    <t>Obecní knihovna v Dlouhopolsku</t>
  </si>
  <si>
    <t>Dlouhopolsko 5</t>
  </si>
  <si>
    <t>Dlouhopolsko</t>
  </si>
  <si>
    <t>NBG520</t>
  </si>
  <si>
    <t>Obecní knihovna Odřepsy</t>
  </si>
  <si>
    <t>Odřepsy 72</t>
  </si>
  <si>
    <t>Odřepsy</t>
  </si>
  <si>
    <t>NBG521</t>
  </si>
  <si>
    <t>Obecní knihovna v Třebestovicích</t>
  </si>
  <si>
    <t>Železniční 127</t>
  </si>
  <si>
    <t>Třebestovice</t>
  </si>
  <si>
    <t>NBG522</t>
  </si>
  <si>
    <t>Obecní knihovna v Kostomlátkách</t>
  </si>
  <si>
    <t>5. května 32</t>
  </si>
  <si>
    <t>Kostomlátky</t>
  </si>
  <si>
    <t>NBG523</t>
  </si>
  <si>
    <t>Obecní knihovna ve Vrbici</t>
  </si>
  <si>
    <t>Vrbice 127</t>
  </si>
  <si>
    <t>Vrbice</t>
  </si>
  <si>
    <t>NBG524</t>
  </si>
  <si>
    <t>Obecní knihovna Pátek</t>
  </si>
  <si>
    <t>Pátek 14</t>
  </si>
  <si>
    <t>Pátek</t>
  </si>
  <si>
    <t>NBG525</t>
  </si>
  <si>
    <t>Místní lidová knihovna v Hořátvi</t>
  </si>
  <si>
    <t>Hořátev 17</t>
  </si>
  <si>
    <t>Hořátev</t>
  </si>
  <si>
    <t>NBG526</t>
  </si>
  <si>
    <t>Obecní knihovna ve Velenicích</t>
  </si>
  <si>
    <t>Velenice 130</t>
  </si>
  <si>
    <t>Velenice</t>
  </si>
  <si>
    <t>NBG527</t>
  </si>
  <si>
    <t>Obecní knihovna v Opočnici</t>
  </si>
  <si>
    <t>Opočnice 80</t>
  </si>
  <si>
    <t>Opočnice</t>
  </si>
  <si>
    <t>NBG528</t>
  </si>
  <si>
    <t>Obecní knihovna v Senicích</t>
  </si>
  <si>
    <t>Senice 25</t>
  </si>
  <si>
    <t>Senice</t>
  </si>
  <si>
    <t>NBG529</t>
  </si>
  <si>
    <t>Obecní knihovna v Opolanech</t>
  </si>
  <si>
    <t>Opolany 68</t>
  </si>
  <si>
    <t>Opolany</t>
  </si>
  <si>
    <t>NBG530</t>
  </si>
  <si>
    <t>Obecní knihovna v Opolánkách</t>
  </si>
  <si>
    <t>Opolánky 65</t>
  </si>
  <si>
    <t>Opolánky</t>
  </si>
  <si>
    <t>NBG531</t>
  </si>
  <si>
    <t>Obecní knihovna v Bříství</t>
  </si>
  <si>
    <t>Bříství 75</t>
  </si>
  <si>
    <t>Bříství</t>
  </si>
  <si>
    <t>NBG532</t>
  </si>
  <si>
    <t>Obecní knihovna Vlkov pod Oškobrhem</t>
  </si>
  <si>
    <t>Vlkov pod Oškobrhem 42</t>
  </si>
  <si>
    <t>Vlkov pod Oškobrhem</t>
  </si>
  <si>
    <t>NBG533</t>
  </si>
  <si>
    <t>Obecní knihovna ve Chlebích</t>
  </si>
  <si>
    <t>NBG534</t>
  </si>
  <si>
    <t>Obecní veřejná knihovna Starý Vestec</t>
  </si>
  <si>
    <t>Starý Vestec 67</t>
  </si>
  <si>
    <t>Starý Vesec</t>
  </si>
  <si>
    <t>NBG535</t>
  </si>
  <si>
    <t>Obecní knihovna Kněžice</t>
  </si>
  <si>
    <t>Kněžice 55</t>
  </si>
  <si>
    <t>Kněžice</t>
  </si>
  <si>
    <t>NBG538</t>
  </si>
  <si>
    <t>Obecní knihovna v Přerově nad Labem</t>
  </si>
  <si>
    <t>Přerov nad Labem 38</t>
  </si>
  <si>
    <t>Přerov nad Labem</t>
  </si>
  <si>
    <t>NBG539</t>
  </si>
  <si>
    <t>Obecní knihovna v Košíku</t>
  </si>
  <si>
    <t>Košík 25</t>
  </si>
  <si>
    <t>Košík</t>
  </si>
  <si>
    <t>Z VS půjčuje i pobočka Obecní knihovna Doubravany</t>
  </si>
  <si>
    <t>NBG540</t>
  </si>
  <si>
    <t>Obecní lidová knihovna ve Mcelích</t>
  </si>
  <si>
    <t>Mcely 51</t>
  </si>
  <si>
    <t>Mcely</t>
  </si>
  <si>
    <t>NBG541</t>
  </si>
  <si>
    <t>Obecní knihovna Dymokury</t>
  </si>
  <si>
    <t>Revoluční 97</t>
  </si>
  <si>
    <t>Dymokury</t>
  </si>
  <si>
    <t>NBG542</t>
  </si>
  <si>
    <t>Obecní knihovna Libice nad Cidlinou</t>
  </si>
  <si>
    <t>Husova 4</t>
  </si>
  <si>
    <t>Libice nad Cidlinou</t>
  </si>
  <si>
    <t>NBG543</t>
  </si>
  <si>
    <t>Místní lidová knihovna v Jiřicích</t>
  </si>
  <si>
    <t>Jiřice 56</t>
  </si>
  <si>
    <t>Jiřice</t>
  </si>
  <si>
    <t>NBG544</t>
  </si>
  <si>
    <t>Obecní knihovna v Křečkově</t>
  </si>
  <si>
    <t>Křečkov 58</t>
  </si>
  <si>
    <t>Křečkov</t>
  </si>
  <si>
    <t>NBG545</t>
  </si>
  <si>
    <t>Obecní knihovna v Choťovicích</t>
  </si>
  <si>
    <t>Choťovice 1</t>
  </si>
  <si>
    <t>Choťovice</t>
  </si>
  <si>
    <t>NBG546</t>
  </si>
  <si>
    <t>Obecní knihovna v Loučeni</t>
  </si>
  <si>
    <t>Loučeň 268</t>
  </si>
  <si>
    <t>Loučeň</t>
  </si>
  <si>
    <t>NBG547</t>
  </si>
  <si>
    <t>Obecní knihovna ve Vykáni</t>
  </si>
  <si>
    <t>Vykáň 24</t>
  </si>
  <si>
    <t>Vykáň</t>
  </si>
  <si>
    <t>NBG548</t>
  </si>
  <si>
    <t>Místní lidová knihovna v Tatcích</t>
  </si>
  <si>
    <t>Podedvorem 81</t>
  </si>
  <si>
    <t>Tatce</t>
  </si>
  <si>
    <t>NBG549</t>
  </si>
  <si>
    <t>Obecní knihovna Běrunice</t>
  </si>
  <si>
    <t>Běrunice 176</t>
  </si>
  <si>
    <t>Běrunice</t>
  </si>
  <si>
    <t>NBG550</t>
  </si>
  <si>
    <t>Místní lidová knihovna ve Stratově</t>
  </si>
  <si>
    <t>Stratov 90</t>
  </si>
  <si>
    <t>Stratov</t>
  </si>
  <si>
    <t>NBG551</t>
  </si>
  <si>
    <t>Obecní knihovna ve Vestci</t>
  </si>
  <si>
    <t>Vestec 26</t>
  </si>
  <si>
    <t>Vestec</t>
  </si>
  <si>
    <t>NBG552</t>
  </si>
  <si>
    <t>Obecní knihovna ve Staré Lysé</t>
  </si>
  <si>
    <t>Stará Lysá 56</t>
  </si>
  <si>
    <t>Stará Lysá</t>
  </si>
  <si>
    <t>NBG553</t>
  </si>
  <si>
    <t>Místní lidová knihovna v Seleticích</t>
  </si>
  <si>
    <t>Seletice 139</t>
  </si>
  <si>
    <t>Seletice</t>
  </si>
  <si>
    <t>NBG554</t>
  </si>
  <si>
    <t>Obecní knihovna Velenka</t>
  </si>
  <si>
    <t>Velenka 44</t>
  </si>
  <si>
    <t>Velenka</t>
  </si>
  <si>
    <t>NBG555</t>
  </si>
  <si>
    <t>Obecní knihovna v Podmokách</t>
  </si>
  <si>
    <t>Podmoky 42</t>
  </si>
  <si>
    <t>Podmoky</t>
  </si>
  <si>
    <t>NBG556</t>
  </si>
  <si>
    <t>Obecní knihovna v Semicích</t>
  </si>
  <si>
    <t>Semice 280</t>
  </si>
  <si>
    <t>Semice</t>
  </si>
  <si>
    <t>NBG558</t>
  </si>
  <si>
    <t>Obecní knihovna v Záhornici</t>
  </si>
  <si>
    <t>Hlavní 72</t>
  </si>
  <si>
    <t>Záhornice</t>
  </si>
  <si>
    <t>NBG559</t>
  </si>
  <si>
    <t>Obecní knihovna ve Strakách</t>
  </si>
  <si>
    <t>Straky 215</t>
  </si>
  <si>
    <t>Straky</t>
  </si>
  <si>
    <t>NBG560</t>
  </si>
  <si>
    <t>Obecní knihovna Sokoleč</t>
  </si>
  <si>
    <t>Sokoleč 51</t>
  </si>
  <si>
    <t>Sokoleč</t>
  </si>
  <si>
    <t>NBG561</t>
  </si>
  <si>
    <t>Obecní knihovna ve Slovči</t>
  </si>
  <si>
    <t>Sloveč 100</t>
  </si>
  <si>
    <t>Sloveč</t>
  </si>
  <si>
    <t>Totéž i u Obecní knihovny v Kamilově a Obecní knihovny ve Střihově</t>
  </si>
  <si>
    <t>NBG562</t>
  </si>
  <si>
    <t>Obecní knihovna v Milčicích</t>
  </si>
  <si>
    <t>Milčice 32</t>
  </si>
  <si>
    <t>Milčice</t>
  </si>
  <si>
    <t>NBG563</t>
  </si>
  <si>
    <t>Obecní knihovna v Hrubém Jeseníku</t>
  </si>
  <si>
    <t>Hrubý Jeseník 30</t>
  </si>
  <si>
    <t>Hrubý Jeseník</t>
  </si>
  <si>
    <t>NBG564</t>
  </si>
  <si>
    <t>Hradištko 25</t>
  </si>
  <si>
    <t>NBG566</t>
  </si>
  <si>
    <t>Obecní knihovna Činěves</t>
  </si>
  <si>
    <t>Činěves 1</t>
  </si>
  <si>
    <t>Činěves</t>
  </si>
  <si>
    <t>NBG567</t>
  </si>
  <si>
    <t>Obecní knihovna ve Zvěřínku</t>
  </si>
  <si>
    <t>Hořátevská 41</t>
  </si>
  <si>
    <t>Zvěřínek</t>
  </si>
  <si>
    <t>NBG568</t>
  </si>
  <si>
    <t>Obecní knihovna Písty</t>
  </si>
  <si>
    <t>Písty 33</t>
  </si>
  <si>
    <t>Písty</t>
  </si>
  <si>
    <t>NBG570</t>
  </si>
  <si>
    <t>Obecní knihovna v Sánech</t>
  </si>
  <si>
    <t>Sány 161</t>
  </si>
  <si>
    <t>Sány</t>
  </si>
  <si>
    <t>NBG572</t>
  </si>
  <si>
    <t>Obecní knihovna v Chotěšicích</t>
  </si>
  <si>
    <t>Chotěšice 29</t>
  </si>
  <si>
    <t>Chotěšice</t>
  </si>
  <si>
    <t>NBG573</t>
  </si>
  <si>
    <t>Místní knihovna obce Ostrá - pobočka Šnepov</t>
  </si>
  <si>
    <t>Ostrá - Šnepov 3</t>
  </si>
  <si>
    <t>Šnepov</t>
  </si>
  <si>
    <t>NBG574</t>
  </si>
  <si>
    <t>Obecní knihovna v Jíkvi</t>
  </si>
  <si>
    <t>Jíkev 58</t>
  </si>
  <si>
    <t>Jíkev</t>
  </si>
  <si>
    <t>NBG575</t>
  </si>
  <si>
    <t>Obecní knihovna v Kněžičkách</t>
  </si>
  <si>
    <t>Kněžičky 90</t>
  </si>
  <si>
    <t>Kněžičky</t>
  </si>
  <si>
    <t>NBG578</t>
  </si>
  <si>
    <t>Městská knihovna v Poděbradech-pobočka Kluk</t>
  </si>
  <si>
    <t>Kluk 64</t>
  </si>
  <si>
    <t>Kluk</t>
  </si>
  <si>
    <t>NBG579</t>
  </si>
  <si>
    <t>Městská knihovna v Poděbradech - pobočka Přední Lhota</t>
  </si>
  <si>
    <t>Přední Lhota 41</t>
  </si>
  <si>
    <t>Přední Lhota</t>
  </si>
  <si>
    <t>NJG001</t>
  </si>
  <si>
    <t>Městské kulturní středisko Nový Jičín, příspěvková organizace - Městská knihovna Nový Jičín</t>
  </si>
  <si>
    <t>Husova 2</t>
  </si>
  <si>
    <t>Nový Jičín</t>
  </si>
  <si>
    <t>NJG502</t>
  </si>
  <si>
    <t>Městská knihovna Frenštát pod Radhoštěm</t>
  </si>
  <si>
    <t>Dr. Parmy 254</t>
  </si>
  <si>
    <t>Frenštát pod Radhoštěm</t>
  </si>
  <si>
    <t>NJG504</t>
  </si>
  <si>
    <t>Městská knihovna Bílovec</t>
  </si>
  <si>
    <t>Slezské náměstí 63</t>
  </si>
  <si>
    <t>Bílovec</t>
  </si>
  <si>
    <t>NJG505</t>
  </si>
  <si>
    <t>Kulturní dům Kopřivnice, příspěvková organizace, Městská knihovna Kopřivnice</t>
  </si>
  <si>
    <t>Obránců míru 368</t>
  </si>
  <si>
    <t>Kopřivnice</t>
  </si>
  <si>
    <t>Půjčujeme zvukové záznamy též z výměnných souborů.</t>
  </si>
  <si>
    <t>NJG506</t>
  </si>
  <si>
    <t>Městská knihovna Příbor</t>
  </si>
  <si>
    <t>Lidická 50</t>
  </si>
  <si>
    <t>Příbor</t>
  </si>
  <si>
    <t>Půjčuje bezplatně také zvukové záznamy z výměnných fondů.</t>
  </si>
  <si>
    <t>NJG520</t>
  </si>
  <si>
    <t>Knihovna Josefa von Eichendorffa</t>
  </si>
  <si>
    <t>Sedlnice 106</t>
  </si>
  <si>
    <t>Sedlnice</t>
  </si>
  <si>
    <t>OLA001</t>
  </si>
  <si>
    <t>Vědecká knihovna v Olomouci</t>
  </si>
  <si>
    <t>Bezručova 659/2</t>
  </si>
  <si>
    <t>Olomouc</t>
  </si>
  <si>
    <t>OLD012</t>
  </si>
  <si>
    <t>Univerzita Palackého v Olomouci - Knihovna UP</t>
  </si>
  <si>
    <t>Biskupské nám. 1</t>
  </si>
  <si>
    <t>OLD015</t>
  </si>
  <si>
    <t>Univerzita Palackého v Olomouci - Knihovna UP - Fakulta zdravotnických věd</t>
  </si>
  <si>
    <t>Hněvotínská 3</t>
  </si>
  <si>
    <t>OLG001</t>
  </si>
  <si>
    <t>Knihovna města Olomouce, příspěvková organizace</t>
  </si>
  <si>
    <t>nám. Republiky 1</t>
  </si>
  <si>
    <t>OPD001</t>
  </si>
  <si>
    <t>Slezská univerzita v Opavě - Univerzitní knihovna</t>
  </si>
  <si>
    <t>Bezručovo náměstí 14</t>
  </si>
  <si>
    <t>Opava</t>
  </si>
  <si>
    <t>OPG001</t>
  </si>
  <si>
    <t>Knihovna Petra Bezruče v Opavě, příspěvková organizace</t>
  </si>
  <si>
    <t>Nádražní okruh 27</t>
  </si>
  <si>
    <t>Zvukové knihy půjčuje bezplatně na všech svých pobočkách</t>
  </si>
  <si>
    <t>OPG501</t>
  </si>
  <si>
    <t>Městská knihovna Hlučín</t>
  </si>
  <si>
    <t>Zámecká 286/4</t>
  </si>
  <si>
    <t>Hlučín</t>
  </si>
  <si>
    <t>OPG504</t>
  </si>
  <si>
    <t>Obecní knihovna ve Štěpánkovicích</t>
  </si>
  <si>
    <t>Zahradní 10</t>
  </si>
  <si>
    <t>Štěpánkovice</t>
  </si>
  <si>
    <t>OPG507</t>
  </si>
  <si>
    <t>Městská knihovna Kravaře</t>
  </si>
  <si>
    <t>Bezručova 10</t>
  </si>
  <si>
    <t>Kravaře</t>
  </si>
  <si>
    <t>OPG510</t>
  </si>
  <si>
    <t>Obecní knihovna Kobeřice</t>
  </si>
  <si>
    <t>Slezská 104/57</t>
  </si>
  <si>
    <t>Kobeřice</t>
  </si>
  <si>
    <t>OPG513</t>
  </si>
  <si>
    <t>Místní knihovna Velká Polom</t>
  </si>
  <si>
    <t>Osvoboditelů 67</t>
  </si>
  <si>
    <t>Velká Polom</t>
  </si>
  <si>
    <t>OPG514</t>
  </si>
  <si>
    <t>Místní knihovna v Bolaticích</t>
  </si>
  <si>
    <t>Hlučínská 6</t>
  </si>
  <si>
    <t>Bolatice</t>
  </si>
  <si>
    <t>OPG518</t>
  </si>
  <si>
    <t>Místní knihovna Píšť</t>
  </si>
  <si>
    <t>Píšť 190</t>
  </si>
  <si>
    <t>Píšť</t>
  </si>
  <si>
    <t>OPG528</t>
  </si>
  <si>
    <t>Místní knihovna Slavkov</t>
  </si>
  <si>
    <t>Slezská 316</t>
  </si>
  <si>
    <t>Slavkov</t>
  </si>
  <si>
    <t>OPG563</t>
  </si>
  <si>
    <t>Obecní knihovna Nové Sedlice</t>
  </si>
  <si>
    <t>Hlavní 56</t>
  </si>
  <si>
    <t>Nové Sedlice</t>
  </si>
  <si>
    <t>OPG584</t>
  </si>
  <si>
    <t>Místní knihovna Děhylov</t>
  </si>
  <si>
    <t>Výstavní 213/13a</t>
  </si>
  <si>
    <t>Děhylov</t>
  </si>
  <si>
    <t>OSA001</t>
  </si>
  <si>
    <t>Moravskoslezská vědecká knihovna v Ostravě, příspěvková organizace</t>
  </si>
  <si>
    <t>Prokešovo náměstí 1802/9, Moravská Ostrava</t>
  </si>
  <si>
    <t>Ostrava</t>
  </si>
  <si>
    <t>OSD001</t>
  </si>
  <si>
    <t>Ostravská univerzita - Univerzitní knihovna</t>
  </si>
  <si>
    <t>Bráfova 3</t>
  </si>
  <si>
    <t>OSG002</t>
  </si>
  <si>
    <t>Knihovna města Ostravy, příspěvková organizace</t>
  </si>
  <si>
    <t>ul. 28. října 289/2</t>
  </si>
  <si>
    <t>OSG304</t>
  </si>
  <si>
    <t>Janáčkova konzervatoř v Ostravě, příspěvková organizace - Knihovna</t>
  </si>
  <si>
    <t>Českobratrská 40</t>
  </si>
  <si>
    <t>PAD001</t>
  </si>
  <si>
    <t>Univerzita Pardubice - Centrum informačních technologií a služeb - Univerzitní knihovna</t>
  </si>
  <si>
    <t>Studentská 519</t>
  </si>
  <si>
    <t>Pardubice</t>
  </si>
  <si>
    <t>PAE201</t>
  </si>
  <si>
    <t>Nemocnice Pardubického kraje, a.s. Pardubická nemocnice - Středisko vědeckých informací - Lékařská knihovna</t>
  </si>
  <si>
    <t>Kyjevská 44</t>
  </si>
  <si>
    <t>PAG001</t>
  </si>
  <si>
    <t>Krajská knihovna v Pardubicích</t>
  </si>
  <si>
    <t>Pernštýnské nám. 77</t>
  </si>
  <si>
    <t>Půjčujeme zvukové dokumenty též z výměnných fondů</t>
  </si>
  <si>
    <t>PAG002</t>
  </si>
  <si>
    <t>Knihovna městského obvodu Pardubice III - Městská knihovna</t>
  </si>
  <si>
    <t>Lidmily Malé 656</t>
  </si>
  <si>
    <t>PAG004</t>
  </si>
  <si>
    <t>Obecní knihovna v Mikulovicích</t>
  </si>
  <si>
    <t>Valčíkova 52</t>
  </si>
  <si>
    <t>Mikulovice</t>
  </si>
  <si>
    <t>PAG005</t>
  </si>
  <si>
    <t>Obecní knihovna v Blatě</t>
  </si>
  <si>
    <t>Blato</t>
  </si>
  <si>
    <t>PAG006</t>
  </si>
  <si>
    <t>Obecní knihovna Ostřešany</t>
  </si>
  <si>
    <t>Ostřešany 202</t>
  </si>
  <si>
    <t>Ostřešany</t>
  </si>
  <si>
    <t>PAG007</t>
  </si>
  <si>
    <t>Obecní knihovna Jezbořice</t>
  </si>
  <si>
    <t>Jezbořice 67</t>
  </si>
  <si>
    <t>Jezbořice</t>
  </si>
  <si>
    <t>PAG008</t>
  </si>
  <si>
    <t>Obecní knihovna Slepotice</t>
  </si>
  <si>
    <t>Slepotice 101</t>
  </si>
  <si>
    <t>Slepotice</t>
  </si>
  <si>
    <t>PAG009</t>
  </si>
  <si>
    <t>Obecní knihovna Kostěnice</t>
  </si>
  <si>
    <t>Kostěnice 8</t>
  </si>
  <si>
    <t>Kostěnice</t>
  </si>
  <si>
    <t>PAG010</t>
  </si>
  <si>
    <t>Místní knihovna Pardubičky</t>
  </si>
  <si>
    <t>Komenského 56</t>
  </si>
  <si>
    <t>Pardubičky</t>
  </si>
  <si>
    <t>PAG011</t>
  </si>
  <si>
    <t>Místní knihovna MO Pardubice VI</t>
  </si>
  <si>
    <t>Kostnická 865</t>
  </si>
  <si>
    <t>Staré Čivice</t>
  </si>
  <si>
    <t>PAG014</t>
  </si>
  <si>
    <t>Místní knihovna Rosice nad Labem</t>
  </si>
  <si>
    <t>Gen. Svobody 198</t>
  </si>
  <si>
    <t>Pardubice VII - Rosice nad Labem</t>
  </si>
  <si>
    <t>PAG016</t>
  </si>
  <si>
    <t>Obecní knihovna Barchov</t>
  </si>
  <si>
    <t>Barchov 68</t>
  </si>
  <si>
    <t>Barchov</t>
  </si>
  <si>
    <t>PAG017</t>
  </si>
  <si>
    <t>Obecní knihovna Starý Mateřov</t>
  </si>
  <si>
    <t>Starý Mateřov 38</t>
  </si>
  <si>
    <t>Starý Mateřov</t>
  </si>
  <si>
    <t>PAG018</t>
  </si>
  <si>
    <t>Místní knihovna Nemošice</t>
  </si>
  <si>
    <t>Ostřešanská 25</t>
  </si>
  <si>
    <t>Nemošice</t>
  </si>
  <si>
    <t>PAG502</t>
  </si>
  <si>
    <t>nám. T.G. Masaryka 44</t>
  </si>
  <si>
    <t>Přelouč</t>
  </si>
  <si>
    <t>PAG504</t>
  </si>
  <si>
    <t>Holubova 768</t>
  </si>
  <si>
    <t>Holice v Čechách</t>
  </si>
  <si>
    <t>PAG505</t>
  </si>
  <si>
    <t>Obecní knihovna Opatovice nad Labem</t>
  </si>
  <si>
    <t>Neplachova 206</t>
  </si>
  <si>
    <t>Opatovice nad Labem</t>
  </si>
  <si>
    <t>PAG507</t>
  </si>
  <si>
    <t>Městská knihovna Sezemice</t>
  </si>
  <si>
    <t>Spálená 141</t>
  </si>
  <si>
    <t>PAG508</t>
  </si>
  <si>
    <t>Obecní knihovna Řečany nad Labem</t>
  </si>
  <si>
    <t>1. máje 66</t>
  </si>
  <si>
    <t>Řečany nad Labem</t>
  </si>
  <si>
    <t>PAG511</t>
  </si>
  <si>
    <t>Obecní knihovna Moravany</t>
  </si>
  <si>
    <t>nám. Hrdinů 13</t>
  </si>
  <si>
    <t>PAG512</t>
  </si>
  <si>
    <t>Městská knihovna Dašice</t>
  </si>
  <si>
    <t>Nám. T. G. Masaryka 109</t>
  </si>
  <si>
    <t>Dašice v Čechách</t>
  </si>
  <si>
    <t>PAG514</t>
  </si>
  <si>
    <t>Obecní knihovna Časy</t>
  </si>
  <si>
    <t>Časy 31</t>
  </si>
  <si>
    <t>Časy</t>
  </si>
  <si>
    <t>PAG515</t>
  </si>
  <si>
    <t>Obecní knihovna Čepí</t>
  </si>
  <si>
    <t>Čepí 106</t>
  </si>
  <si>
    <t>Čepí</t>
  </si>
  <si>
    <t>PAG521</t>
  </si>
  <si>
    <t>Obecní knihovna ve Dřítči</t>
  </si>
  <si>
    <t>Dříteč 116</t>
  </si>
  <si>
    <t>Dříteč</t>
  </si>
  <si>
    <t>PAG522</t>
  </si>
  <si>
    <t>Obecní knihovna Hlavečník</t>
  </si>
  <si>
    <t>Hlavečník 28</t>
  </si>
  <si>
    <t>Hlavečník</t>
  </si>
  <si>
    <t>PAG524</t>
  </si>
  <si>
    <t>Obecní knihovna Jaroslav</t>
  </si>
  <si>
    <t>Jaroslav 6</t>
  </si>
  <si>
    <t>Jaroslav</t>
  </si>
  <si>
    <t>PAG529</t>
  </si>
  <si>
    <t>Místní lidová knihovna Hostovice u Pardubic</t>
  </si>
  <si>
    <t>Hostovice 20</t>
  </si>
  <si>
    <t>Hostovice u Pardubic</t>
  </si>
  <si>
    <t>PAG530</t>
  </si>
  <si>
    <t>Obecní knihovna Kojice</t>
  </si>
  <si>
    <t>Kojice 53</t>
  </si>
  <si>
    <t>Kojice</t>
  </si>
  <si>
    <t>PAG536</t>
  </si>
  <si>
    <t>Obecní knihovna ve Vyšehněvicích</t>
  </si>
  <si>
    <t>Vyšehněvice 8</t>
  </si>
  <si>
    <t>Vyšehněvice</t>
  </si>
  <si>
    <t>PAG537</t>
  </si>
  <si>
    <t>Obecní knihovna Vlčí Habřina</t>
  </si>
  <si>
    <t>Vlčí Habřina 104</t>
  </si>
  <si>
    <t>Vlčí Habřina</t>
  </si>
  <si>
    <t>PAG541</t>
  </si>
  <si>
    <t>Obecní knihovna Čeperka</t>
  </si>
  <si>
    <t>Boženy Němcové 1</t>
  </si>
  <si>
    <t>Čeperka</t>
  </si>
  <si>
    <t>PAG546</t>
  </si>
  <si>
    <t>Obecní knihovna Brloh</t>
  </si>
  <si>
    <t>PAG547</t>
  </si>
  <si>
    <t>Obecní knihovna Trnávka</t>
  </si>
  <si>
    <t>Lipová 93</t>
  </si>
  <si>
    <t>Trnávka</t>
  </si>
  <si>
    <t>PAG548</t>
  </si>
  <si>
    <t>Obecní knihovna Semín</t>
  </si>
  <si>
    <t>Semín 102</t>
  </si>
  <si>
    <t>Semín</t>
  </si>
  <si>
    <t>PAG550</t>
  </si>
  <si>
    <t>Obecní knihovna Rohovládova Bělá</t>
  </si>
  <si>
    <t>Rohovládova Bělá 32</t>
  </si>
  <si>
    <t>Rohovládova Bělá</t>
  </si>
  <si>
    <t>PAG551</t>
  </si>
  <si>
    <t>Obecní knihovna obce Rybitví</t>
  </si>
  <si>
    <t>Školní 126</t>
  </si>
  <si>
    <t>Rybitví</t>
  </si>
  <si>
    <t>PAG555</t>
  </si>
  <si>
    <t>Obecní knihovna Srnojedy</t>
  </si>
  <si>
    <t>Ke Hřišti 8</t>
  </si>
  <si>
    <t>PAG556</t>
  </si>
  <si>
    <t>Obecní knihovna Srch</t>
  </si>
  <si>
    <t>Srch</t>
  </si>
  <si>
    <t>PAG558</t>
  </si>
  <si>
    <t>Obecní knihovna Ráby</t>
  </si>
  <si>
    <t>Ráby 5</t>
  </si>
  <si>
    <t>Ráby</t>
  </si>
  <si>
    <t>PAG559</t>
  </si>
  <si>
    <t>Obecní knihovna v Brozanech</t>
  </si>
  <si>
    <t>Brozany 7</t>
  </si>
  <si>
    <t>Brozany</t>
  </si>
  <si>
    <t>PAG562</t>
  </si>
  <si>
    <t>Místní lidová knihovna Tetov</t>
  </si>
  <si>
    <t>Tetov</t>
  </si>
  <si>
    <t>PAG563</t>
  </si>
  <si>
    <t>Obecní knihovna Trusnov</t>
  </si>
  <si>
    <t>Trusnov 62</t>
  </si>
  <si>
    <t>Trusnov</t>
  </si>
  <si>
    <t>PAG565</t>
  </si>
  <si>
    <t>Obecní knihovna Uhersko</t>
  </si>
  <si>
    <t>Uhersko 34</t>
  </si>
  <si>
    <t>Uhersko</t>
  </si>
  <si>
    <t>PAG567</t>
  </si>
  <si>
    <t>Obecní knihovna ve Strašově</t>
  </si>
  <si>
    <t>Strašov 93</t>
  </si>
  <si>
    <t>Strašov</t>
  </si>
  <si>
    <t>PAG570</t>
  </si>
  <si>
    <t>Obecní knihovna Žáravice</t>
  </si>
  <si>
    <t>Žáravice 29</t>
  </si>
  <si>
    <t>Žáravice</t>
  </si>
  <si>
    <t>PAG571</t>
  </si>
  <si>
    <t>Obecní veřejná knihovna Sopřeč</t>
  </si>
  <si>
    <t>Sopřeč 100</t>
  </si>
  <si>
    <t>Sopřeč</t>
  </si>
  <si>
    <t>PAG572</t>
  </si>
  <si>
    <t>Obecní knihovna Újezd u Přelouče</t>
  </si>
  <si>
    <t>Újezd u Přelouče 25</t>
  </si>
  <si>
    <t>Újezd u Přelouče</t>
  </si>
  <si>
    <t>PAG574</t>
  </si>
  <si>
    <t>Obecní knihovna Týnišťko</t>
  </si>
  <si>
    <t>Týnišťko 78</t>
  </si>
  <si>
    <t>Týnišťko</t>
  </si>
  <si>
    <t>PAG575</t>
  </si>
  <si>
    <t>Knihovna obce Zdechovice</t>
  </si>
  <si>
    <t>Zdechovice 157</t>
  </si>
  <si>
    <t>Zdechovice</t>
  </si>
  <si>
    <t>PAG580</t>
  </si>
  <si>
    <t>Obecní knihovna v Kladrubech nad Labem</t>
  </si>
  <si>
    <t>Kladruby nad Labem 110</t>
  </si>
  <si>
    <t>Kladruby nad Labem</t>
  </si>
  <si>
    <t>PBG001</t>
  </si>
  <si>
    <t>Knihovna Jana Drdy</t>
  </si>
  <si>
    <t>nám. T.G. Masaryka 156</t>
  </si>
  <si>
    <t>Příbram</t>
  </si>
  <si>
    <t>PBG002</t>
  </si>
  <si>
    <t>Obecní knihovna Podlesí</t>
  </si>
  <si>
    <t>Podlesí 81</t>
  </si>
  <si>
    <t>Podlesí</t>
  </si>
  <si>
    <t>PBG003</t>
  </si>
  <si>
    <t>Obecní knihovna Drásov</t>
  </si>
  <si>
    <t>Drásov 11</t>
  </si>
  <si>
    <t>Drásov</t>
  </si>
  <si>
    <t>PBG004</t>
  </si>
  <si>
    <t>Obecní knihovna v Drahlíně</t>
  </si>
  <si>
    <t>Drahlín 92</t>
  </si>
  <si>
    <t>Drahlín</t>
  </si>
  <si>
    <t>PBG005</t>
  </si>
  <si>
    <t>Obecní knihovna Lhota u Příbramě</t>
  </si>
  <si>
    <t>Lhota u Příbramě</t>
  </si>
  <si>
    <t>PBG006</t>
  </si>
  <si>
    <t>Obecní knihovna v Orlově</t>
  </si>
  <si>
    <t>Orlov</t>
  </si>
  <si>
    <t>PBG007</t>
  </si>
  <si>
    <t>Obecní knihovna Sádek</t>
  </si>
  <si>
    <t>Sádek 39</t>
  </si>
  <si>
    <t>Sádek</t>
  </si>
  <si>
    <t>PBG501</t>
  </si>
  <si>
    <t>Městská knihovna Sedlčany, příspěvková organizace</t>
  </si>
  <si>
    <t>Kapitána Jaroše 482</t>
  </si>
  <si>
    <t>Sedlčany</t>
  </si>
  <si>
    <t>PBG504</t>
  </si>
  <si>
    <t>Městská knihovna Dobříš</t>
  </si>
  <si>
    <t>Školní 36</t>
  </si>
  <si>
    <t>Dobříš</t>
  </si>
  <si>
    <t>PBG505</t>
  </si>
  <si>
    <t>Centrum celoživotního vzdělávání s knihovnou manželů Tomanových</t>
  </si>
  <si>
    <t>Palackého 9</t>
  </si>
  <si>
    <t>Rožmitál pod Třemšínem</t>
  </si>
  <si>
    <t>PBG506</t>
  </si>
  <si>
    <t>Knihovna Dr.Emanuela Bořického</t>
  </si>
  <si>
    <t>11. května 385</t>
  </si>
  <si>
    <t>Milín</t>
  </si>
  <si>
    <t>PBG507</t>
  </si>
  <si>
    <t>Petrovice u Sedlčan 196</t>
  </si>
  <si>
    <t>Petrovice u Sedlčan</t>
  </si>
  <si>
    <t>PBG508</t>
  </si>
  <si>
    <t>Havlíčkova 19</t>
  </si>
  <si>
    <t>Jince</t>
  </si>
  <si>
    <t>PBG510</t>
  </si>
  <si>
    <t>Bubovice čp. 22</t>
  </si>
  <si>
    <t>PBG512</t>
  </si>
  <si>
    <t>Obecní knihovna v Nedrahovicích</t>
  </si>
  <si>
    <t>Nedrahovice 49</t>
  </si>
  <si>
    <t>Nedrahovice</t>
  </si>
  <si>
    <t>PBG513</t>
  </si>
  <si>
    <t>Obecní knihovna Dominikální Paseky</t>
  </si>
  <si>
    <t>Dominikální Paseky</t>
  </si>
  <si>
    <t>PBG514</t>
  </si>
  <si>
    <t>Obecní knihovna Milešov</t>
  </si>
  <si>
    <t>Milešov 73</t>
  </si>
  <si>
    <t>Milešov</t>
  </si>
  <si>
    <t>PBG515</t>
  </si>
  <si>
    <t>Obecní knihovna Jesenice</t>
  </si>
  <si>
    <t>Jesenice 11</t>
  </si>
  <si>
    <t>PBG516</t>
  </si>
  <si>
    <t>Obecní knihovna Krásná Hora nad Vltavou</t>
  </si>
  <si>
    <t>Krásná Hora nad Vltavou</t>
  </si>
  <si>
    <t>Krásná Hora</t>
  </si>
  <si>
    <t>PBG517</t>
  </si>
  <si>
    <t>Obecní knihovna Chrást</t>
  </si>
  <si>
    <t>Chrást 15</t>
  </si>
  <si>
    <t>Chrást</t>
  </si>
  <si>
    <t>PBG519</t>
  </si>
  <si>
    <t>Místní lidová knihovna Věšín</t>
  </si>
  <si>
    <t>Věšín 34</t>
  </si>
  <si>
    <t>Věšín</t>
  </si>
  <si>
    <t>PBG523</t>
  </si>
  <si>
    <t>Obecní knihovna v Trhových Dušníkách</t>
  </si>
  <si>
    <t>Trhové Dušníky 116</t>
  </si>
  <si>
    <t>Trhové Dušníky</t>
  </si>
  <si>
    <t>PBG524</t>
  </si>
  <si>
    <t>Obecní knihovna v Zalužanech</t>
  </si>
  <si>
    <t>Zalužany 145</t>
  </si>
  <si>
    <t>Zalužany</t>
  </si>
  <si>
    <t>PBG525</t>
  </si>
  <si>
    <t>Obecní knihovna ve Staré Huti</t>
  </si>
  <si>
    <t>Karla Čapka 430</t>
  </si>
  <si>
    <t>Stará Huť</t>
  </si>
  <si>
    <t>PBG526</t>
  </si>
  <si>
    <t>Obecní knihovna ve Zbenicích</t>
  </si>
  <si>
    <t>Zbenice 61</t>
  </si>
  <si>
    <t>Zbenice</t>
  </si>
  <si>
    <t>PBG527</t>
  </si>
  <si>
    <t>Obecní knihovna Lešetice</t>
  </si>
  <si>
    <t>Lešetice 9</t>
  </si>
  <si>
    <t>Lešetice</t>
  </si>
  <si>
    <t>PBG528</t>
  </si>
  <si>
    <t>Obecní knihovna v Mokrovratech</t>
  </si>
  <si>
    <t>Mokrovraty 99</t>
  </si>
  <si>
    <t>Mokrovraty</t>
  </si>
  <si>
    <t>PBG529</t>
  </si>
  <si>
    <t>Obecní knihovna Bezděkov</t>
  </si>
  <si>
    <t>Bezděkov 3</t>
  </si>
  <si>
    <t>Bezděkov pod Třemšínem</t>
  </si>
  <si>
    <t>PBG530</t>
  </si>
  <si>
    <t>Obecní knihovna Bohutín</t>
  </si>
  <si>
    <t>Vysoká Pec 74</t>
  </si>
  <si>
    <t>Bohutín</t>
  </si>
  <si>
    <t>PBG531</t>
  </si>
  <si>
    <t>Obecní knihovna v Oborách</t>
  </si>
  <si>
    <t>Obory 68</t>
  </si>
  <si>
    <t>Obory</t>
  </si>
  <si>
    <t>PBG532</t>
  </si>
  <si>
    <t>Obecní knihovna Ostrov</t>
  </si>
  <si>
    <t>Ostrov 24</t>
  </si>
  <si>
    <t>Ostrov</t>
  </si>
  <si>
    <t>PBG533</t>
  </si>
  <si>
    <t>Obecní knihovna v Osečanech</t>
  </si>
  <si>
    <t>Osečany</t>
  </si>
  <si>
    <t>PBG534</t>
  </si>
  <si>
    <t>Obecní knihovna v Nečíni</t>
  </si>
  <si>
    <t>Nečín 9</t>
  </si>
  <si>
    <t>Nečín</t>
  </si>
  <si>
    <t>PBG535</t>
  </si>
  <si>
    <t>Obecní knihovna Voznice</t>
  </si>
  <si>
    <t>Voznice 7</t>
  </si>
  <si>
    <t>Voznice</t>
  </si>
  <si>
    <t>PBG536</t>
  </si>
  <si>
    <t>Obecní knihovna Kamýk nad Vltavou</t>
  </si>
  <si>
    <t>Kamýk nad Vltavou 163</t>
  </si>
  <si>
    <t>Kamýk nad Vltavou</t>
  </si>
  <si>
    <t>PBG537</t>
  </si>
  <si>
    <t>Obecní knihovna v Obecnici</t>
  </si>
  <si>
    <t>Obecnice 159</t>
  </si>
  <si>
    <t>Obecnice</t>
  </si>
  <si>
    <t>PBG538</t>
  </si>
  <si>
    <t>Obecní knihovna v Rosovicích</t>
  </si>
  <si>
    <t>Rosovice 60</t>
  </si>
  <si>
    <t>Rosovice</t>
  </si>
  <si>
    <t>PBG539</t>
  </si>
  <si>
    <t>Obecní knihovna Kosova Hora</t>
  </si>
  <si>
    <t>Kosova Hora 45</t>
  </si>
  <si>
    <t>Kosova Hora</t>
  </si>
  <si>
    <t>PBG540</t>
  </si>
  <si>
    <t>Obecní knihovna v Prosenické Lhotě</t>
  </si>
  <si>
    <t>Prosenická Lhota 20</t>
  </si>
  <si>
    <t>Prosenická Lhota</t>
  </si>
  <si>
    <t>PBG542</t>
  </si>
  <si>
    <t>Obecní knihovna Čenkov</t>
  </si>
  <si>
    <t>Čenkov 61</t>
  </si>
  <si>
    <t>Čenkov</t>
  </si>
  <si>
    <t>PBG543</t>
  </si>
  <si>
    <t>Obecní knihovna v Počepicích</t>
  </si>
  <si>
    <t>Počepice 60</t>
  </si>
  <si>
    <t>Počepice</t>
  </si>
  <si>
    <t>PBG544</t>
  </si>
  <si>
    <t>Obecní knihovna v Nalžovicích</t>
  </si>
  <si>
    <t>Chlum 21</t>
  </si>
  <si>
    <t>Nalžovice</t>
  </si>
  <si>
    <t>PBG545</t>
  </si>
  <si>
    <t>Obecní knihovna v Ouběnicích</t>
  </si>
  <si>
    <t>Ouběnice</t>
  </si>
  <si>
    <t>PBG546</t>
  </si>
  <si>
    <t>Obecní knihovna Vysoký Chlumec</t>
  </si>
  <si>
    <t>Vysoký Chlumec 14</t>
  </si>
  <si>
    <t>Vysoký Chlumec</t>
  </si>
  <si>
    <t>PBG547</t>
  </si>
  <si>
    <t>Obecní knihovna Hrabří</t>
  </si>
  <si>
    <t>Hrabří 6</t>
  </si>
  <si>
    <t>Hrabří</t>
  </si>
  <si>
    <t>PBG548</t>
  </si>
  <si>
    <t>Místní knihovna v Hrachově</t>
  </si>
  <si>
    <t>Hrachov 22</t>
  </si>
  <si>
    <t>Hrachov</t>
  </si>
  <si>
    <t>PBG549</t>
  </si>
  <si>
    <t>Obecní knihovna Klučenice</t>
  </si>
  <si>
    <t>Klučenice 113</t>
  </si>
  <si>
    <t>Klučenice</t>
  </si>
  <si>
    <t>PBG550</t>
  </si>
  <si>
    <t>Obecní knihovna ve Smolotelích</t>
  </si>
  <si>
    <t>Smolotely 91</t>
  </si>
  <si>
    <t>Smolotely</t>
  </si>
  <si>
    <t>PBG551</t>
  </si>
  <si>
    <t>Obecní knihovna Dublovice</t>
  </si>
  <si>
    <t>Dublovice 33</t>
  </si>
  <si>
    <t>Dublovice</t>
  </si>
  <si>
    <t>PBG552</t>
  </si>
  <si>
    <t>Obecní knihovna Štětkovice</t>
  </si>
  <si>
    <t>Štětkovice 45</t>
  </si>
  <si>
    <t>Štětkovice</t>
  </si>
  <si>
    <t>PBG553</t>
  </si>
  <si>
    <t>Obecní knihovna Zduchovice</t>
  </si>
  <si>
    <t>Zduchovice 55</t>
  </si>
  <si>
    <t>Zduchovice</t>
  </si>
  <si>
    <t>PBG554</t>
  </si>
  <si>
    <t>Obecní knihovna Kňovice</t>
  </si>
  <si>
    <t>Kňovice 6</t>
  </si>
  <si>
    <t>Kňovice</t>
  </si>
  <si>
    <t>PBG555</t>
  </si>
  <si>
    <t>Obecní knihovna ve Svatém Poli</t>
  </si>
  <si>
    <t>Svaté Pole</t>
  </si>
  <si>
    <t>PBG556</t>
  </si>
  <si>
    <t>Obecní knihovna v Pičíně</t>
  </si>
  <si>
    <t>Pičín 154</t>
  </si>
  <si>
    <t>Pičín</t>
  </si>
  <si>
    <t>PBG557</t>
  </si>
  <si>
    <t>Obecní knihovna Tochovice</t>
  </si>
  <si>
    <t>Tochovice 165</t>
  </si>
  <si>
    <t>Tochovice</t>
  </si>
  <si>
    <t>PBG559</t>
  </si>
  <si>
    <t>Obecní knihovna Hluboš</t>
  </si>
  <si>
    <t>Hluboš 3</t>
  </si>
  <si>
    <t>Hluboš</t>
  </si>
  <si>
    <t>PBG560</t>
  </si>
  <si>
    <t>Obecní knihovna v Nechvalicích</t>
  </si>
  <si>
    <t>Nechvalice 62</t>
  </si>
  <si>
    <t>Nechvalice</t>
  </si>
  <si>
    <t>PBG561</t>
  </si>
  <si>
    <t>Obecní knihovna Drhovy</t>
  </si>
  <si>
    <t>Drhovy 65</t>
  </si>
  <si>
    <t>Drhovy</t>
  </si>
  <si>
    <t>PBG563</t>
  </si>
  <si>
    <t>Obecní knihovna v Nové Vsi pod Pleší</t>
  </si>
  <si>
    <t>Nová Ves pod Pleší 90</t>
  </si>
  <si>
    <t>Nová Ves pod Pleší</t>
  </si>
  <si>
    <t>PBG564</t>
  </si>
  <si>
    <t>Obecní knihovna Křešín</t>
  </si>
  <si>
    <t>Křešín 21</t>
  </si>
  <si>
    <t>Křešín</t>
  </si>
  <si>
    <t>PBG565</t>
  </si>
  <si>
    <t>Obecní knihovna Radíč</t>
  </si>
  <si>
    <t>Radíč 43</t>
  </si>
  <si>
    <t>Radíč</t>
  </si>
  <si>
    <t>PBG567</t>
  </si>
  <si>
    <t>Místní knihovna v Koupi</t>
  </si>
  <si>
    <t>Koupě 68</t>
  </si>
  <si>
    <t>Koupě</t>
  </si>
  <si>
    <t>PBG568</t>
  </si>
  <si>
    <t>Obecní knihovna v Pečicích</t>
  </si>
  <si>
    <t>Pečice 101</t>
  </si>
  <si>
    <t>Pečice</t>
  </si>
  <si>
    <t>PBG569</t>
  </si>
  <si>
    <t>Obecní knihovna ve Vrančicích</t>
  </si>
  <si>
    <t>Vrančice 14</t>
  </si>
  <si>
    <t>Vrančice</t>
  </si>
  <si>
    <t>PBG570</t>
  </si>
  <si>
    <t>Obecní knihovna v Solenicích</t>
  </si>
  <si>
    <t>Solenice 37</t>
  </si>
  <si>
    <t>Solenice</t>
  </si>
  <si>
    <t>PBG571</t>
  </si>
  <si>
    <t>Obecní knihovna v Bukové u Příbramě</t>
  </si>
  <si>
    <t>Buková u Příbramě 45</t>
  </si>
  <si>
    <t>Buková u Příbramě</t>
  </si>
  <si>
    <t>PBG572</t>
  </si>
  <si>
    <t>Obecní knihovna v Malé Hraštici</t>
  </si>
  <si>
    <t>Malá Hraštice 115</t>
  </si>
  <si>
    <t>Malá Hraštice</t>
  </si>
  <si>
    <t>PBG573</t>
  </si>
  <si>
    <t>Obecní knihovna v Křepenicích</t>
  </si>
  <si>
    <t>Křepeníce čp. 79</t>
  </si>
  <si>
    <t>Křepenice</t>
  </si>
  <si>
    <t>PBG574</t>
  </si>
  <si>
    <t>Obecní knihovna Kozárovice</t>
  </si>
  <si>
    <t>Kozárovice 181</t>
  </si>
  <si>
    <t>Kozárovice</t>
  </si>
  <si>
    <t>PBG575</t>
  </si>
  <si>
    <t>Obecní knihovna Velká Lečice</t>
  </si>
  <si>
    <t>Velká Lečice 85</t>
  </si>
  <si>
    <t>Velká Lečice</t>
  </si>
  <si>
    <t>PBG576</t>
  </si>
  <si>
    <t>Knihovna Josefa Jiřího Stankovského Vysoká u Příbramě</t>
  </si>
  <si>
    <t>Vysoká u Příbramě 128</t>
  </si>
  <si>
    <t>Vysoká u Příbramě</t>
  </si>
  <si>
    <t>PBG581</t>
  </si>
  <si>
    <t>Obecní knihovna v Dolních Hbitech</t>
  </si>
  <si>
    <t>Dolní Hbity 55</t>
  </si>
  <si>
    <t>Dolní Hbity</t>
  </si>
  <si>
    <t>PBG582</t>
  </si>
  <si>
    <t>Obecní knihovna Starosedlský Hrádek</t>
  </si>
  <si>
    <t>Starosedlský Hrádek 26</t>
  </si>
  <si>
    <t>Starosedlský Hrádek</t>
  </si>
  <si>
    <t>PBG801</t>
  </si>
  <si>
    <t>Školní knihovna pro děti, mládež i dospělé</t>
  </si>
  <si>
    <t>Chraštice 44</t>
  </si>
  <si>
    <t>Chraštice</t>
  </si>
  <si>
    <t>PEG001</t>
  </si>
  <si>
    <t>Kulturní zařízení města Pelhřimova - Městská knihovna</t>
  </si>
  <si>
    <t>Jirsíkova 841</t>
  </si>
  <si>
    <t>Pelhřimov</t>
  </si>
  <si>
    <t>PEG501</t>
  </si>
  <si>
    <t>náměstí Svobody 1</t>
  </si>
  <si>
    <t>Pacov</t>
  </si>
  <si>
    <t>PEG502</t>
  </si>
  <si>
    <t>Dolní nám. 250</t>
  </si>
  <si>
    <t>Humpolec</t>
  </si>
  <si>
    <t>PEG522</t>
  </si>
  <si>
    <t>Obecní knihovna Jiřice</t>
  </si>
  <si>
    <t>Jiříce 110</t>
  </si>
  <si>
    <t>PIG001</t>
  </si>
  <si>
    <t>Alšovo nám. 85</t>
  </si>
  <si>
    <t>PIG501</t>
  </si>
  <si>
    <t>Městská knihovna v Milevsku</t>
  </si>
  <si>
    <t>Nám. E. Beneše 1</t>
  </si>
  <si>
    <t>Milevsko</t>
  </si>
  <si>
    <t>PIG504</t>
  </si>
  <si>
    <t>Táborská 5</t>
  </si>
  <si>
    <t>Bernartice</t>
  </si>
  <si>
    <t>PIG507</t>
  </si>
  <si>
    <t>Obecní knihovna Kovářov</t>
  </si>
  <si>
    <t>Kovářov 63</t>
  </si>
  <si>
    <t>Kovářov</t>
  </si>
  <si>
    <t>PIG512</t>
  </si>
  <si>
    <t>Obecní knihovna Lety</t>
  </si>
  <si>
    <t>Lety 67</t>
  </si>
  <si>
    <t>Lety</t>
  </si>
  <si>
    <t>PNA001</t>
  </si>
  <si>
    <t>Studijní a vědecká knihovna Plzeňského kraje, příspěvková organizace</t>
  </si>
  <si>
    <t>Smetanovy sady 2</t>
  </si>
  <si>
    <t>Plzeň</t>
  </si>
  <si>
    <t>PND008</t>
  </si>
  <si>
    <t>Západočeská univerzita v Plzni - Univerzitní knihovna</t>
  </si>
  <si>
    <t>Univerzitní 8</t>
  </si>
  <si>
    <t>PNG001</t>
  </si>
  <si>
    <t>Knihovna města Plzně, p.o.</t>
  </si>
  <si>
    <t>B. Smetany 13</t>
  </si>
  <si>
    <t>PNG503</t>
  </si>
  <si>
    <t>Markova 2</t>
  </si>
  <si>
    <t>Kralovice</t>
  </si>
  <si>
    <t>PNG508</t>
  </si>
  <si>
    <t>Místní knihovna Líně</t>
  </si>
  <si>
    <t>Plzeňská 27</t>
  </si>
  <si>
    <t>Líně</t>
  </si>
  <si>
    <t>PNG513</t>
  </si>
  <si>
    <t>Obecní knihovna Žihle</t>
  </si>
  <si>
    <t>Žihle 316</t>
  </si>
  <si>
    <t>Žihle</t>
  </si>
  <si>
    <t>Půjčuje zvukové záznamy z výměnných souborů - bezplatně</t>
  </si>
  <si>
    <t>PNG514</t>
  </si>
  <si>
    <t>Tyršova 245</t>
  </si>
  <si>
    <t>Třemošná</t>
  </si>
  <si>
    <t>PNG520</t>
  </si>
  <si>
    <t>Městská knihovna Blovice</t>
  </si>
  <si>
    <t>Bělohrobského 78</t>
  </si>
  <si>
    <t>Blovice</t>
  </si>
  <si>
    <t>PRG001</t>
  </si>
  <si>
    <t>Městská knihovna v Přerově, příspěvková organizace</t>
  </si>
  <si>
    <t>Žerotínovo nám. 211/36</t>
  </si>
  <si>
    <t>Přerov</t>
  </si>
  <si>
    <t>PRG501</t>
  </si>
  <si>
    <t>Městská kulturní zařízení Hranice, příspěvková organizace - středisko knihovna</t>
  </si>
  <si>
    <t>Masarykovo nám. 71</t>
  </si>
  <si>
    <t>Hranice</t>
  </si>
  <si>
    <t>PRG502</t>
  </si>
  <si>
    <t>Městská knihovna Lipník nad Bečvou, příspěvková organizace</t>
  </si>
  <si>
    <t>nám. T.G. Masaryka 11</t>
  </si>
  <si>
    <t>Lipník nad Bečvou</t>
  </si>
  <si>
    <t>PRG566</t>
  </si>
  <si>
    <t>Obecní knihovna Citov</t>
  </si>
  <si>
    <t>Citov 14</t>
  </si>
  <si>
    <t>Citov</t>
  </si>
  <si>
    <t>PTG001</t>
  </si>
  <si>
    <t>Městská knihovna Prachatice</t>
  </si>
  <si>
    <t>Husova 71</t>
  </si>
  <si>
    <t>Prachatice</t>
  </si>
  <si>
    <t>PTG501</t>
  </si>
  <si>
    <t>1.máje 194</t>
  </si>
  <si>
    <t>Vimperk</t>
  </si>
  <si>
    <t>PTG503</t>
  </si>
  <si>
    <t>Městská knihovna Volary</t>
  </si>
  <si>
    <t>Náměstí 24</t>
  </si>
  <si>
    <t>Volary</t>
  </si>
  <si>
    <t>PTG504</t>
  </si>
  <si>
    <t>Obecní knihovna ve Zdíkově</t>
  </si>
  <si>
    <t>Zdíkov 233</t>
  </si>
  <si>
    <t>Zdíkov</t>
  </si>
  <si>
    <t>PTG510</t>
  </si>
  <si>
    <t>Místní lidová knihovna v Lenoře</t>
  </si>
  <si>
    <t>Lenora 36</t>
  </si>
  <si>
    <t>Lenora</t>
  </si>
  <si>
    <t>PTG511</t>
  </si>
  <si>
    <t>Obecní knihovna Dub</t>
  </si>
  <si>
    <t>Dub</t>
  </si>
  <si>
    <t>PTG513</t>
  </si>
  <si>
    <t>Obecní knihovna ve Čkyni</t>
  </si>
  <si>
    <t>Čkyně 2</t>
  </si>
  <si>
    <t>Čkyně</t>
  </si>
  <si>
    <t>PTG516</t>
  </si>
  <si>
    <t>Obecní knihovna Šumavské Hoštice</t>
  </si>
  <si>
    <t>Šumavské Hoštice 9</t>
  </si>
  <si>
    <t>Šumavské Hoštice</t>
  </si>
  <si>
    <t>PTG518</t>
  </si>
  <si>
    <t>Obecní knihovna Kvilda</t>
  </si>
  <si>
    <t>Kvilda 17</t>
  </si>
  <si>
    <t>Kvilda</t>
  </si>
  <si>
    <t>PTG520</t>
  </si>
  <si>
    <t>Obecní knihovna Bohumilice</t>
  </si>
  <si>
    <t>Bohumilice</t>
  </si>
  <si>
    <t>PTG523</t>
  </si>
  <si>
    <t>Obecní knihovna Stožec</t>
  </si>
  <si>
    <t>Stožec 54</t>
  </si>
  <si>
    <t>Stožec</t>
  </si>
  <si>
    <t>PTG527</t>
  </si>
  <si>
    <t>Obecní knihovna Vitějovice</t>
  </si>
  <si>
    <t>Vitějovice 95</t>
  </si>
  <si>
    <t>Vitějovice</t>
  </si>
  <si>
    <t>PTG529</t>
  </si>
  <si>
    <t>Obecní knihovna Nová Pec</t>
  </si>
  <si>
    <t>Nové Chalupy 74</t>
  </si>
  <si>
    <t>Nová Pec</t>
  </si>
  <si>
    <t>PTG531</t>
  </si>
  <si>
    <t>Obecní knihovna v Lažišti</t>
  </si>
  <si>
    <t>Lažiště 24</t>
  </si>
  <si>
    <t>Lažiště</t>
  </si>
  <si>
    <t>PTG538</t>
  </si>
  <si>
    <t>Obecní knihovna Lčovice</t>
  </si>
  <si>
    <t>Lčovice 64</t>
  </si>
  <si>
    <t>Lčovice</t>
  </si>
  <si>
    <t>PVG001</t>
  </si>
  <si>
    <t>Městská knihovna Prostějov</t>
  </si>
  <si>
    <t>Skálovo nám. 6</t>
  </si>
  <si>
    <t>Prostějov</t>
  </si>
  <si>
    <t>RAG001</t>
  </si>
  <si>
    <t>Městská knihovna Rakovník</t>
  </si>
  <si>
    <t>Husovo nám. 114</t>
  </si>
  <si>
    <t>Rakovník</t>
  </si>
  <si>
    <t>RKG501</t>
  </si>
  <si>
    <t>Městská knihovna Týniště nad Orlicí</t>
  </si>
  <si>
    <t>Čs.armády 937</t>
  </si>
  <si>
    <t>Týniště nad Orlicí</t>
  </si>
  <si>
    <t>RKG502</t>
  </si>
  <si>
    <t>Městská knihovna Dobruška</t>
  </si>
  <si>
    <t>Na Budíně 850</t>
  </si>
  <si>
    <t>Dobruška</t>
  </si>
  <si>
    <t>ROG001</t>
  </si>
  <si>
    <t>Městská knihovna Rokycany</t>
  </si>
  <si>
    <t>Masarykovo nám. 83/I</t>
  </si>
  <si>
    <t>Rokycany</t>
  </si>
  <si>
    <t>SMG004</t>
  </si>
  <si>
    <t>Městská knihovna Semily</t>
  </si>
  <si>
    <t>Tyršova 49</t>
  </si>
  <si>
    <t>Semily</t>
  </si>
  <si>
    <t>SMG501</t>
  </si>
  <si>
    <t>Městská knihovna Jaroslava Havlíčka</t>
  </si>
  <si>
    <t>Komenského 1</t>
  </si>
  <si>
    <t>Jilemnice</t>
  </si>
  <si>
    <t>SMG503</t>
  </si>
  <si>
    <t>Dolní Rokytnice 172</t>
  </si>
  <si>
    <t>Rokytnice nad Jizerou</t>
  </si>
  <si>
    <t>SMG504</t>
  </si>
  <si>
    <t>Jablonec nad Jizerou 291</t>
  </si>
  <si>
    <t>Jablonec nad Jizerou</t>
  </si>
  <si>
    <t>SMG505</t>
  </si>
  <si>
    <t>Harrachov</t>
  </si>
  <si>
    <t>SMG506</t>
  </si>
  <si>
    <t>Městská knihovna Antonína Marka Turnov</t>
  </si>
  <si>
    <t>Jeronýmova 517</t>
  </si>
  <si>
    <t>Turnov</t>
  </si>
  <si>
    <t>SMG507</t>
  </si>
  <si>
    <t>Vysoké nad Jizerou 165</t>
  </si>
  <si>
    <t>Vysoké nad Jizerou</t>
  </si>
  <si>
    <t>SOG001</t>
  </si>
  <si>
    <t>Městská knihovna Sokolov</t>
  </si>
  <si>
    <t>Zámecká 2</t>
  </si>
  <si>
    <t>Sokolov</t>
  </si>
  <si>
    <t>Půjčují zvukové dokumenty jen handicapovaným čtenářům</t>
  </si>
  <si>
    <t>SOG501</t>
  </si>
  <si>
    <t>T.G. Masaryka 1</t>
  </si>
  <si>
    <t>Loket</t>
  </si>
  <si>
    <t>SOG502</t>
  </si>
  <si>
    <t>Sídliště 721</t>
  </si>
  <si>
    <t>Rotava</t>
  </si>
  <si>
    <t>SOG504</t>
  </si>
  <si>
    <t>Městská knihovna Chodov</t>
  </si>
  <si>
    <t>Staroměstská 55</t>
  </si>
  <si>
    <t>Chodov</t>
  </si>
  <si>
    <t>SOG505</t>
  </si>
  <si>
    <t>Městská knihovna Kraslice, p.o.</t>
  </si>
  <si>
    <t>Dukelská 1128</t>
  </si>
  <si>
    <t>Kraslice</t>
  </si>
  <si>
    <t>SOG507</t>
  </si>
  <si>
    <t>Komenského 250</t>
  </si>
  <si>
    <t>SOG508</t>
  </si>
  <si>
    <t>Městské kulturní středisko Habartov, příspěvková organizace</t>
  </si>
  <si>
    <t>Národní 400</t>
  </si>
  <si>
    <t>Habartov</t>
  </si>
  <si>
    <t>SOG510</t>
  </si>
  <si>
    <t>Obecní knihovna Lomnice</t>
  </si>
  <si>
    <t>Kraslická 44</t>
  </si>
  <si>
    <t>Lomnice</t>
  </si>
  <si>
    <t>STG001</t>
  </si>
  <si>
    <t>Šmidingerova knihovna Strakonice</t>
  </si>
  <si>
    <t>Strakonice</t>
  </si>
  <si>
    <t>STG501</t>
  </si>
  <si>
    <t>Volyňská kultura, příspěvková organizace</t>
  </si>
  <si>
    <t>Nám. Svobody 39</t>
  </si>
  <si>
    <t>Volyně</t>
  </si>
  <si>
    <t>STG503</t>
  </si>
  <si>
    <t>Centrum kultury a vzdělávání Blatná - Městská knihovna</t>
  </si>
  <si>
    <t>nám. Míru 212</t>
  </si>
  <si>
    <t>Blatná</t>
  </si>
  <si>
    <t>STG504</t>
  </si>
  <si>
    <t>Městská knihovna Vodňany</t>
  </si>
  <si>
    <t>Bavorovská 83/II</t>
  </si>
  <si>
    <t>Vodňany</t>
  </si>
  <si>
    <t>STG515</t>
  </si>
  <si>
    <t>Obecní knihovna Cehnice</t>
  </si>
  <si>
    <t>Cehnice 76</t>
  </si>
  <si>
    <t>Cehnice</t>
  </si>
  <si>
    <t>na pobočce v Dunovicích</t>
  </si>
  <si>
    <t>STG523</t>
  </si>
  <si>
    <t>Místní lidová knihovna v Bílsku</t>
  </si>
  <si>
    <t>Bílsko 1</t>
  </si>
  <si>
    <t>Bílsko</t>
  </si>
  <si>
    <t>STG549</t>
  </si>
  <si>
    <t>Obecní knihovna Dřešín</t>
  </si>
  <si>
    <t>Dřešín 24</t>
  </si>
  <si>
    <t>Dřešín</t>
  </si>
  <si>
    <t>SUG001</t>
  </si>
  <si>
    <t>Městská knihovna Šumperk, příspěvková organizace</t>
  </si>
  <si>
    <t>ul. 17.listopadu 6</t>
  </si>
  <si>
    <t>Šumperk</t>
  </si>
  <si>
    <t>SUG501</t>
  </si>
  <si>
    <t>Městská knihovna Mohelnice</t>
  </si>
  <si>
    <t>S.K. Neumanna 1</t>
  </si>
  <si>
    <t>Mohelnice</t>
  </si>
  <si>
    <t>SUG503</t>
  </si>
  <si>
    <t>Městská knihovna v Hanušovicích</t>
  </si>
  <si>
    <t>Hynčická 1</t>
  </si>
  <si>
    <t>Hanušovice</t>
  </si>
  <si>
    <t>SUG506</t>
  </si>
  <si>
    <t>Místní knihovna Libina</t>
  </si>
  <si>
    <t>Libina 521</t>
  </si>
  <si>
    <t>Libina</t>
  </si>
  <si>
    <t>SUG511</t>
  </si>
  <si>
    <t>Obecní knihovna v Rapotíně</t>
  </si>
  <si>
    <t>Šumperská 530</t>
  </si>
  <si>
    <t>Rapotín</t>
  </si>
  <si>
    <t>SUG802</t>
  </si>
  <si>
    <t>Městská knihovna Zábřeh</t>
  </si>
  <si>
    <t>nám. Osvobození 15</t>
  </si>
  <si>
    <t>Zábřeh</t>
  </si>
  <si>
    <t>SVG001</t>
  </si>
  <si>
    <t>Městská knihovna ve Svitavách</t>
  </si>
  <si>
    <t>Wolkerova alej 92/18</t>
  </si>
  <si>
    <t>Svitavy</t>
  </si>
  <si>
    <t>SVG002</t>
  </si>
  <si>
    <t>Obecní knihovna v Dětřichově</t>
  </si>
  <si>
    <t>Dětřichov 42</t>
  </si>
  <si>
    <t>Dětřichov</t>
  </si>
  <si>
    <t>SVG008</t>
  </si>
  <si>
    <t>Obecní knihovna v Karli</t>
  </si>
  <si>
    <t>Karle 4</t>
  </si>
  <si>
    <t>Karle</t>
  </si>
  <si>
    <t>SVG502</t>
  </si>
  <si>
    <t>Městská knihovna Litomyšl</t>
  </si>
  <si>
    <t>Smetanovo nám. 50</t>
  </si>
  <si>
    <t>Litomyšl</t>
  </si>
  <si>
    <t>SVG503</t>
  </si>
  <si>
    <t>Městská knihovna Ladislava z Boskovic v Moravské Třebové</t>
  </si>
  <si>
    <t>Zámecké náměstí 185/1</t>
  </si>
  <si>
    <t>Moravská Třebová</t>
  </si>
  <si>
    <t>SVG504</t>
  </si>
  <si>
    <t>Městská knihovna v Bystrém</t>
  </si>
  <si>
    <t>nám. Na podkově 68</t>
  </si>
  <si>
    <t>Bystré</t>
  </si>
  <si>
    <t>SVG508</t>
  </si>
  <si>
    <t>Knihovna Dolní Újezd</t>
  </si>
  <si>
    <t>Dolní Újezd 281</t>
  </si>
  <si>
    <t>Dolní Újezd</t>
  </si>
  <si>
    <t>SVG509</t>
  </si>
  <si>
    <t>Městská knihovna Jevíčko</t>
  </si>
  <si>
    <t>U Zámečku 451</t>
  </si>
  <si>
    <t>Jevíčko</t>
  </si>
  <si>
    <t>SVG510</t>
  </si>
  <si>
    <t>Obecní knihovna Budislav</t>
  </si>
  <si>
    <t>Budislav 64</t>
  </si>
  <si>
    <t>Budislav</t>
  </si>
  <si>
    <t>SVG521</t>
  </si>
  <si>
    <t>Obecní knihovna ve Študlově</t>
  </si>
  <si>
    <t>Študlov 26</t>
  </si>
  <si>
    <t>Študlov</t>
  </si>
  <si>
    <t>SVG563</t>
  </si>
  <si>
    <t>Obecní knihovna v Morašicích</t>
  </si>
  <si>
    <t>Morašice 96</t>
  </si>
  <si>
    <t>Morašice</t>
  </si>
  <si>
    <t>SVG570</t>
  </si>
  <si>
    <t>Obecní knihovna v Opatově</t>
  </si>
  <si>
    <t>Opatov 159</t>
  </si>
  <si>
    <t>Opatov</t>
  </si>
  <si>
    <t>TAG001</t>
  </si>
  <si>
    <t>Městská knihovna Tábor</t>
  </si>
  <si>
    <t>Jiráskova 1775</t>
  </si>
  <si>
    <t>Tábor</t>
  </si>
  <si>
    <t>TAG502</t>
  </si>
  <si>
    <t>Městská knihovna Soběslav</t>
  </si>
  <si>
    <t>Horní Příkopy 76</t>
  </si>
  <si>
    <t>Soběslav</t>
  </si>
  <si>
    <t>TAG503</t>
  </si>
  <si>
    <t>Gabrielovo nám. 7</t>
  </si>
  <si>
    <t>Chýnov</t>
  </si>
  <si>
    <t>TAG509</t>
  </si>
  <si>
    <t>Městská knihovna Planá nad Lužnicí</t>
  </si>
  <si>
    <t>Zákostelní 720</t>
  </si>
  <si>
    <t>Planá nad Lužnicí</t>
  </si>
  <si>
    <t>TAG510</t>
  </si>
  <si>
    <t>E. Beneše 21</t>
  </si>
  <si>
    <t>Sezimovo Ústí</t>
  </si>
  <si>
    <t>TAG511</t>
  </si>
  <si>
    <t>Školní náměstí 1219</t>
  </si>
  <si>
    <t>TAG515</t>
  </si>
  <si>
    <t>Místní lidová knihovna Dírná</t>
  </si>
  <si>
    <t>Dírná 38</t>
  </si>
  <si>
    <t>Dírná</t>
  </si>
  <si>
    <t>TAG518</t>
  </si>
  <si>
    <t>Místní lidová knihovna Nadějkov</t>
  </si>
  <si>
    <t>Náměstí Prokopa Chocholouška 6</t>
  </si>
  <si>
    <t>Nadějkov</t>
  </si>
  <si>
    <t>TAG519</t>
  </si>
  <si>
    <t>Místní knihovna Tučapy</t>
  </si>
  <si>
    <t>Tučapy 19</t>
  </si>
  <si>
    <t>Tučapy</t>
  </si>
  <si>
    <t>TAG521</t>
  </si>
  <si>
    <t>Obecní knihovna Sudoměřice u Bechyně</t>
  </si>
  <si>
    <t>Sudoměřice u Bechyně 105</t>
  </si>
  <si>
    <t>Sudoměřice u Bechyně</t>
  </si>
  <si>
    <t>TAG522</t>
  </si>
  <si>
    <t>Místní lidová knihovna Stádlec</t>
  </si>
  <si>
    <t>Stádlec 150</t>
  </si>
  <si>
    <t>Stádlec</t>
  </si>
  <si>
    <t>TAG526</t>
  </si>
  <si>
    <t>Místní knihovna v Radimovicích u Želče</t>
  </si>
  <si>
    <t>Radimovice u Želče 40</t>
  </si>
  <si>
    <t>Radimovice u Želče</t>
  </si>
  <si>
    <t>TAG532</t>
  </si>
  <si>
    <t>Obecní knihovna Dražice</t>
  </si>
  <si>
    <t>Dražice 166</t>
  </si>
  <si>
    <t>Dražice</t>
  </si>
  <si>
    <t>TAG534</t>
  </si>
  <si>
    <t>Místní knihovna Želeč</t>
  </si>
  <si>
    <t>Želeč 26</t>
  </si>
  <si>
    <t>Želeč</t>
  </si>
  <si>
    <t>TAG538</t>
  </si>
  <si>
    <t>Místní knihovna Ústrašice</t>
  </si>
  <si>
    <t>Ústrašice 55</t>
  </si>
  <si>
    <t>Ústrašice</t>
  </si>
  <si>
    <t>TAG540</t>
  </si>
  <si>
    <t>Obecní knihovna Šebířov</t>
  </si>
  <si>
    <t>Šebířov 31</t>
  </si>
  <si>
    <t>Šebířov</t>
  </si>
  <si>
    <t>TAG541</t>
  </si>
  <si>
    <t>Obecní knihovna Řípec</t>
  </si>
  <si>
    <t>Řípec 39</t>
  </si>
  <si>
    <t>Řípec</t>
  </si>
  <si>
    <t>TAG544</t>
  </si>
  <si>
    <t>Místní lidová knihovna v Dráchově</t>
  </si>
  <si>
    <t>Dráchov 38</t>
  </si>
  <si>
    <t>Dráchov</t>
  </si>
  <si>
    <t>TAG547</t>
  </si>
  <si>
    <t>Místní lidová knihovna Zvěrotice</t>
  </si>
  <si>
    <t>Zvěrotice 29</t>
  </si>
  <si>
    <t>Zvěrotice</t>
  </si>
  <si>
    <t>TAG549</t>
  </si>
  <si>
    <t>Místní knihovna Sviny</t>
  </si>
  <si>
    <t>Sviny 51</t>
  </si>
  <si>
    <t>Sviny</t>
  </si>
  <si>
    <t>TAG557</t>
  </si>
  <si>
    <t>Místní knihovna Košice</t>
  </si>
  <si>
    <t>Košice 47</t>
  </si>
  <si>
    <t>Košice</t>
  </si>
  <si>
    <t>TAG560</t>
  </si>
  <si>
    <t>Obecní knihovna Smilovy Hory</t>
  </si>
  <si>
    <t>Smilovy Hory 70</t>
  </si>
  <si>
    <t>Smilovy Hory</t>
  </si>
  <si>
    <t>TAG564</t>
  </si>
  <si>
    <t>Obecní knihovna Slapy</t>
  </si>
  <si>
    <t>Slapy 33</t>
  </si>
  <si>
    <t>Slapy</t>
  </si>
  <si>
    <t>TAG566</t>
  </si>
  <si>
    <t>Obecní knihovna Radětice</t>
  </si>
  <si>
    <t>Radětice 94</t>
  </si>
  <si>
    <t>Radětice</t>
  </si>
  <si>
    <t>TCG001</t>
  </si>
  <si>
    <t>Městské kulturní středisko - odbor knihovna</t>
  </si>
  <si>
    <t>Hornická 1695</t>
  </si>
  <si>
    <t>Tachov</t>
  </si>
  <si>
    <t>TCG502</t>
  </si>
  <si>
    <t>Městská knihovna Planá</t>
  </si>
  <si>
    <t>nám. Svobody 56</t>
  </si>
  <si>
    <t>Planá</t>
  </si>
  <si>
    <t>TCG525</t>
  </si>
  <si>
    <t>Místní knihovna v Chodové Plané</t>
  </si>
  <si>
    <t>Pohraniční stráže 1</t>
  </si>
  <si>
    <t>Chodová Planá</t>
  </si>
  <si>
    <t>TPG001</t>
  </si>
  <si>
    <t>Regionální knihovna Teplice, příspěvková organizace</t>
  </si>
  <si>
    <t>Lípová 796/13</t>
  </si>
  <si>
    <t>Teplice</t>
  </si>
  <si>
    <t>Půjčujeme zvukové záznamy též z výměnných souborů“</t>
  </si>
  <si>
    <t>TPG501</t>
  </si>
  <si>
    <t>Město Krupka - Městská knihovna</t>
  </si>
  <si>
    <t>Karla Čapka 296</t>
  </si>
  <si>
    <t>Krupka</t>
  </si>
  <si>
    <t>TPG503</t>
  </si>
  <si>
    <t>Městská knihovna Bílina</t>
  </si>
  <si>
    <t>Mírové nám. 21/16</t>
  </si>
  <si>
    <t>Bílina</t>
  </si>
  <si>
    <t>TPG506</t>
  </si>
  <si>
    <t>Hlavní 70</t>
  </si>
  <si>
    <t>Kostomlaty pod Milešovkou</t>
  </si>
  <si>
    <t>TPG507</t>
  </si>
  <si>
    <t>Místní knihovna Lahošť</t>
  </si>
  <si>
    <t>Švermova 22</t>
  </si>
  <si>
    <t>Lahošť</t>
  </si>
  <si>
    <t>TPG508</t>
  </si>
  <si>
    <t>Obecní knihovna Háj u Duchcova</t>
  </si>
  <si>
    <t>Kubátova 139</t>
  </si>
  <si>
    <t>Háj u Duchcova</t>
  </si>
  <si>
    <t>TPG510</t>
  </si>
  <si>
    <t>Místní knihovna Bžany</t>
  </si>
  <si>
    <t>Bžany 50</t>
  </si>
  <si>
    <t>Bžany</t>
  </si>
  <si>
    <t>TPG512</t>
  </si>
  <si>
    <t>Místní knihovna v Měrunicích</t>
  </si>
  <si>
    <t>Měrunice 67</t>
  </si>
  <si>
    <t>Měrunice</t>
  </si>
  <si>
    <t>TPG513</t>
  </si>
  <si>
    <t>Místní knihovna Bořislav</t>
  </si>
  <si>
    <t>Bořislav 20</t>
  </si>
  <si>
    <t>Bořislav</t>
  </si>
  <si>
    <t>TPG514</t>
  </si>
  <si>
    <t>Místní knihovna v Hrobě</t>
  </si>
  <si>
    <t>Komenského 17</t>
  </si>
  <si>
    <t>Hrob</t>
  </si>
  <si>
    <t>TPG517</t>
  </si>
  <si>
    <t>Obecní knihovna Modlany</t>
  </si>
  <si>
    <t>Modlany 109</t>
  </si>
  <si>
    <t>Modlany</t>
  </si>
  <si>
    <t>TPG520</t>
  </si>
  <si>
    <t>Obecní knihovna Rtyně nad Bílinou</t>
  </si>
  <si>
    <t>Rtyně nad Bílinou 136</t>
  </si>
  <si>
    <t>Rtyně nad Bílinou</t>
  </si>
  <si>
    <t>TPG523</t>
  </si>
  <si>
    <t>Obecní knihovna Světec</t>
  </si>
  <si>
    <t>Školní 23</t>
  </si>
  <si>
    <t>Světec</t>
  </si>
  <si>
    <t>TPG527</t>
  </si>
  <si>
    <t>Místní knihovna Proboštov</t>
  </si>
  <si>
    <t>Náměstí Svobody 700</t>
  </si>
  <si>
    <t>Proboštov</t>
  </si>
  <si>
    <t>TPG529</t>
  </si>
  <si>
    <t>Místní lidová knihovna Újezdeček</t>
  </si>
  <si>
    <t>nám. Boženy Němcové 2</t>
  </si>
  <si>
    <t>Újezdeček</t>
  </si>
  <si>
    <t>TPG530</t>
  </si>
  <si>
    <t>Obecní knihovna Ledvice</t>
  </si>
  <si>
    <t>Mírová 422/42</t>
  </si>
  <si>
    <t>Ledvice</t>
  </si>
  <si>
    <t>TRG001</t>
  </si>
  <si>
    <t>Městská knihovna v Třebíči</t>
  </si>
  <si>
    <t>Hasskova 102/2</t>
  </si>
  <si>
    <t>Třebíč</t>
  </si>
  <si>
    <t>TRG501</t>
  </si>
  <si>
    <t>Tyršova 364</t>
  </si>
  <si>
    <t>Moravské Budějovice</t>
  </si>
  <si>
    <t>TRG503</t>
  </si>
  <si>
    <t>F.B. Zvěřiny 212</t>
  </si>
  <si>
    <t>Hrotovice</t>
  </si>
  <si>
    <t>TRG504</t>
  </si>
  <si>
    <t>Knihovna Okříšky</t>
  </si>
  <si>
    <t>Masarykova 581</t>
  </si>
  <si>
    <t>Okříšky</t>
  </si>
  <si>
    <t>TRG544</t>
  </si>
  <si>
    <t>Kojetice 131</t>
  </si>
  <si>
    <t>TRG557</t>
  </si>
  <si>
    <t>Místní knihovna v Dolních Vilémovicích</t>
  </si>
  <si>
    <t>Dolní Vilémovice 142</t>
  </si>
  <si>
    <t>Dolní Vilémovice</t>
  </si>
  <si>
    <t>TUG001</t>
  </si>
  <si>
    <t>Městská knihovna s regionálními funkcemi Trutnov</t>
  </si>
  <si>
    <t>Krakonošovo nám. 128</t>
  </si>
  <si>
    <t>Trutnov</t>
  </si>
  <si>
    <t>TUG502</t>
  </si>
  <si>
    <t>Krkonošská 630</t>
  </si>
  <si>
    <t>Vrchlabí</t>
  </si>
  <si>
    <t>TUG504</t>
  </si>
  <si>
    <t>Městská knihovna Slavoj ve Dvoře Králové nad Labem</t>
  </si>
  <si>
    <t>Tylova 512</t>
  </si>
  <si>
    <t>Dvůr Králové nad Labem</t>
  </si>
  <si>
    <t>TUG506</t>
  </si>
  <si>
    <t>Městská knihovna v Úpici</t>
  </si>
  <si>
    <t>Bratří Čapků 1075</t>
  </si>
  <si>
    <t>Úpice</t>
  </si>
  <si>
    <t>TUG508</t>
  </si>
  <si>
    <t>Městská knihovna Špindlerův Mlýn</t>
  </si>
  <si>
    <t>Svatopetrská 278</t>
  </si>
  <si>
    <t>Špindlerův Mlýn</t>
  </si>
  <si>
    <t>UHG001</t>
  </si>
  <si>
    <t>Knihovna Bedřicha Beneše Buchlovana, příspěvková organizace</t>
  </si>
  <si>
    <t>Velehradská 714</t>
  </si>
  <si>
    <t>Uherské Hradiště</t>
  </si>
  <si>
    <t>UHG007</t>
  </si>
  <si>
    <t>Knihovna Bedřicha Beneše Buchlovana - pobočka Míkovice</t>
  </si>
  <si>
    <t>Lesní 215</t>
  </si>
  <si>
    <t>UHG501</t>
  </si>
  <si>
    <t>Knihovna Františka Kožíka Uherský Brod</t>
  </si>
  <si>
    <t>Kaunicova 77</t>
  </si>
  <si>
    <t>Uherský Brod</t>
  </si>
  <si>
    <t>Zvukové záznamy půjčujeme též v Knihovně Františka Kožíka Uherský Brod- Pobočce Máj</t>
  </si>
  <si>
    <t>UHG502</t>
  </si>
  <si>
    <t>Městská knihovna v Bojkovicích</t>
  </si>
  <si>
    <t>Tovární 1020</t>
  </si>
  <si>
    <t>Bojkovice</t>
  </si>
  <si>
    <t>Pouze přílohy k tištěným dokumentům, půjčuje zvukové záznamy též z výměnných souborů</t>
  </si>
  <si>
    <t>UHG504</t>
  </si>
  <si>
    <t>Městská knihovna Kunovice</t>
  </si>
  <si>
    <t>Panská 24</t>
  </si>
  <si>
    <t>Kunovice</t>
  </si>
  <si>
    <t>UHG505</t>
  </si>
  <si>
    <t>Městská knihovna Staré Město</t>
  </si>
  <si>
    <t>Za Radnicí 1823</t>
  </si>
  <si>
    <t>Staré Město</t>
  </si>
  <si>
    <t>Půjčují CD pouze jako součást tištěného dokumentu</t>
  </si>
  <si>
    <t>UHG513</t>
  </si>
  <si>
    <t>Místní knihovna Ostrožská Nová Ves</t>
  </si>
  <si>
    <t>Školní 833</t>
  </si>
  <si>
    <t>Ostrožská Nová Ves</t>
  </si>
  <si>
    <t>UHG514</t>
  </si>
  <si>
    <t>Obecní knihovna ve Starém Hrozenkově</t>
  </si>
  <si>
    <t>Kulturní dům 1</t>
  </si>
  <si>
    <t>Starý Hrozenkov</t>
  </si>
  <si>
    <t>Půjčování zvukových záznamů pouze k tištěným dokumentům</t>
  </si>
  <si>
    <t>UHG519</t>
  </si>
  <si>
    <t>Obecní knihovna v Břestku</t>
  </si>
  <si>
    <t>Břestek 102</t>
  </si>
  <si>
    <t>Břestek</t>
  </si>
  <si>
    <t>UHG522</t>
  </si>
  <si>
    <t>Místní knihovna v Bystřici pod Lopeníkem</t>
  </si>
  <si>
    <t>Bystřice pod Lopeníkem 262</t>
  </si>
  <si>
    <t>Bystřice pod Lopeníkem</t>
  </si>
  <si>
    <t>UHG540</t>
  </si>
  <si>
    <t>Místní knihovna v Modré</t>
  </si>
  <si>
    <t>Modrá 170</t>
  </si>
  <si>
    <t>Modrá</t>
  </si>
  <si>
    <t>UHG554</t>
  </si>
  <si>
    <t>Místní knihovna Salaš</t>
  </si>
  <si>
    <t>Salaš 12</t>
  </si>
  <si>
    <t>Salaš</t>
  </si>
  <si>
    <t>UHG559</t>
  </si>
  <si>
    <t>Obecní knihovna Suchá Loz</t>
  </si>
  <si>
    <t>Suchá Loz 2</t>
  </si>
  <si>
    <t>Suchá Loz</t>
  </si>
  <si>
    <t>UHG561</t>
  </si>
  <si>
    <t>Místní knihovna Šumice</t>
  </si>
  <si>
    <t>Šumice 400</t>
  </si>
  <si>
    <t>Šumice</t>
  </si>
  <si>
    <t>UHG562</t>
  </si>
  <si>
    <t>Místní knihovna Topolná</t>
  </si>
  <si>
    <t>Topolná 520</t>
  </si>
  <si>
    <t>Topolná</t>
  </si>
  <si>
    <t>UHG570</t>
  </si>
  <si>
    <t>Místní knihovna Veletiny</t>
  </si>
  <si>
    <t>Veletiny 108</t>
  </si>
  <si>
    <t>Veletiny</t>
  </si>
  <si>
    <t>UHG574</t>
  </si>
  <si>
    <t>Místní knihovna Zlechov</t>
  </si>
  <si>
    <t>Zlechov 540</t>
  </si>
  <si>
    <t>Zlechov</t>
  </si>
  <si>
    <t>UHG577</t>
  </si>
  <si>
    <t>Knihovna Františka Kožíka Uherský Brod - pobočka Máj</t>
  </si>
  <si>
    <t>Náměstí 1. máje 2057</t>
  </si>
  <si>
    <t>ULD001</t>
  </si>
  <si>
    <t>Univerzita J.E.Purkyně - Vědecká knihovna</t>
  </si>
  <si>
    <t>Pasteurova 5</t>
  </si>
  <si>
    <t>Ústí nad Labem</t>
  </si>
  <si>
    <t>ULE201</t>
  </si>
  <si>
    <t>Krajská zdravotní, a.s. - Masarykova nemocnice v Ústí nad Labem, o.z. - Středisko lékařské knihovny</t>
  </si>
  <si>
    <t>Sociální péče 3316/12A</t>
  </si>
  <si>
    <t>Zvukové nosiče nenakupujeme, půjčujeme pouze ty, které jsou součástí knihy a tvoří přílohu</t>
  </si>
  <si>
    <t>ULG001</t>
  </si>
  <si>
    <t>Severočeská vědecká knihovna v Ústí nad Labem</t>
  </si>
  <si>
    <t>W. Churchilla 3</t>
  </si>
  <si>
    <t>UOG001</t>
  </si>
  <si>
    <t>Příkopy 376</t>
  </si>
  <si>
    <t>Ústí nad Orlicí</t>
  </si>
  <si>
    <t>UOG501</t>
  </si>
  <si>
    <t>Městská knihovna Králíky</t>
  </si>
  <si>
    <t>Velké náměstí 273</t>
  </si>
  <si>
    <t>Králíky</t>
  </si>
  <si>
    <t>UOG502</t>
  </si>
  <si>
    <t>Městská knihovna Choceň</t>
  </si>
  <si>
    <t>Sadová 1624</t>
  </si>
  <si>
    <t>Choceň</t>
  </si>
  <si>
    <t>UOG503</t>
  </si>
  <si>
    <t>nám. A. Jiráska 142</t>
  </si>
  <si>
    <t>Lanškroun</t>
  </si>
  <si>
    <t>UOG504</t>
  </si>
  <si>
    <t>Kulturní centrum Letohrad - Knihovna</t>
  </si>
  <si>
    <t>Václavské nám. 1</t>
  </si>
  <si>
    <t>Letohrad</t>
  </si>
  <si>
    <t>UOG505</t>
  </si>
  <si>
    <t>Městská knihovna Česká Třebová</t>
  </si>
  <si>
    <t>Smetanova 173</t>
  </si>
  <si>
    <t>Česká Třebová</t>
  </si>
  <si>
    <t>UOG507</t>
  </si>
  <si>
    <t>Litomyšlská 70</t>
  </si>
  <si>
    <t>Vysoké Mýto</t>
  </si>
  <si>
    <t>UOG508</t>
  </si>
  <si>
    <t>Aloise Hanuše 85</t>
  </si>
  <si>
    <t>Jablonné nad Orlicí</t>
  </si>
  <si>
    <t>UOG510</t>
  </si>
  <si>
    <t>Městská knihovna Žamberk</t>
  </si>
  <si>
    <t>Nádražní 743</t>
  </si>
  <si>
    <t>Žamberk</t>
  </si>
  <si>
    <t>VSG001</t>
  </si>
  <si>
    <t>Masarykova veřejná knihovna Vsetín</t>
  </si>
  <si>
    <t>Dolní náměstí 1356</t>
  </si>
  <si>
    <t>Vsetín</t>
  </si>
  <si>
    <t>VSG501</t>
  </si>
  <si>
    <t>Městská knihovna Valašské Meziříčí</t>
  </si>
  <si>
    <t>Masarykova 90</t>
  </si>
  <si>
    <t>Valašské Meziříčí</t>
  </si>
  <si>
    <t>VSG502</t>
  </si>
  <si>
    <t>Městská knihovna Rožnov pod Radhoštěm, příspěvková organizace</t>
  </si>
  <si>
    <t>Bezručova 519</t>
  </si>
  <si>
    <t>Rožnov pod Radhoštěm</t>
  </si>
  <si>
    <t>VSG503</t>
  </si>
  <si>
    <t>Městská knihovna Kelč</t>
  </si>
  <si>
    <t>Kelč</t>
  </si>
  <si>
    <t>VSG504</t>
  </si>
  <si>
    <t>Knihovna města Zubří</t>
  </si>
  <si>
    <t>Hlavní 79</t>
  </si>
  <si>
    <t>Zubří</t>
  </si>
  <si>
    <t>VSG505</t>
  </si>
  <si>
    <t>Místní knihovna ve Velkých Karlovicích</t>
  </si>
  <si>
    <t>Velké Karlovice 15</t>
  </si>
  <si>
    <t>Velké Karlovice</t>
  </si>
  <si>
    <t>VSG506</t>
  </si>
  <si>
    <t>Veřejná knihovna v Hovězí</t>
  </si>
  <si>
    <t>Hovězí 2</t>
  </si>
  <si>
    <t>Hovězí</t>
  </si>
  <si>
    <t>VSG508</t>
  </si>
  <si>
    <t>Místní knihovna Horní Bečva</t>
  </si>
  <si>
    <t>Horní Bečva 655</t>
  </si>
  <si>
    <t>Horní Bečva</t>
  </si>
  <si>
    <t>i z výměnného fondu</t>
  </si>
  <si>
    <t>VSG509</t>
  </si>
  <si>
    <t>Obecní knihovna Horní Lideč</t>
  </si>
  <si>
    <t>Horní Lideč</t>
  </si>
  <si>
    <t>VSG510</t>
  </si>
  <si>
    <t>Základní knihovna Jablůnka</t>
  </si>
  <si>
    <t>Jablůnka nad Bečvou 503</t>
  </si>
  <si>
    <t>Jablůnka nad Bečvou</t>
  </si>
  <si>
    <t>VSG511</t>
  </si>
  <si>
    <t>Městská knihovna Karolinka</t>
  </si>
  <si>
    <t>Kobylská 250</t>
  </si>
  <si>
    <t>Karolinka</t>
  </si>
  <si>
    <t>VSG512</t>
  </si>
  <si>
    <t>Obecní knihovna Nový Hrozenkov</t>
  </si>
  <si>
    <t>Nový Hrozenkov 454</t>
  </si>
  <si>
    <t>Nový Hrozenkov</t>
  </si>
  <si>
    <t>VSG513</t>
  </si>
  <si>
    <t>Obecní knihovna Valašská Polanka</t>
  </si>
  <si>
    <t>Valašská Polanka 344</t>
  </si>
  <si>
    <t>Valašská Polanka</t>
  </si>
  <si>
    <t>VSG519</t>
  </si>
  <si>
    <t>Knihovna Halenkov</t>
  </si>
  <si>
    <t>Halenkov 535 budova ZŠ</t>
  </si>
  <si>
    <t>Halenkov</t>
  </si>
  <si>
    <t>Půjčuje zvukové záznamy i z výměnných souborů</t>
  </si>
  <si>
    <t>VSG520</t>
  </si>
  <si>
    <t>Dolní Bečva 184</t>
  </si>
  <si>
    <t>Dolní Bečva</t>
  </si>
  <si>
    <t>VSG523</t>
  </si>
  <si>
    <t>Místní knihovna v Prostřední Bečvě</t>
  </si>
  <si>
    <t>Prostřední Bečva 430</t>
  </si>
  <si>
    <t>Prostřední Bečva</t>
  </si>
  <si>
    <t>VSG524</t>
  </si>
  <si>
    <t>Místní knihovna ve Vidči</t>
  </si>
  <si>
    <t>Vidče 460</t>
  </si>
  <si>
    <t>Vidče</t>
  </si>
  <si>
    <t>VSG526</t>
  </si>
  <si>
    <t>Místní knihovna Zděchov</t>
  </si>
  <si>
    <t>Zděchov 175</t>
  </si>
  <si>
    <t>Zděchov</t>
  </si>
  <si>
    <t>VSG527</t>
  </si>
  <si>
    <t>Místní knihovna Vigantice</t>
  </si>
  <si>
    <t>Vigantice 203</t>
  </si>
  <si>
    <t>Vigantice</t>
  </si>
  <si>
    <t>VSG530</t>
  </si>
  <si>
    <t>Obecní knihovna Střítež nad Bečvou</t>
  </si>
  <si>
    <t>Střítež nad Bečvou 193</t>
  </si>
  <si>
    <t>Střítež nad Bečvou</t>
  </si>
  <si>
    <t>VSG532</t>
  </si>
  <si>
    <t>Obecní knihovna v Ratiboři</t>
  </si>
  <si>
    <t>Ratiboř 435</t>
  </si>
  <si>
    <t>Ratiboř</t>
  </si>
  <si>
    <t>VSG535</t>
  </si>
  <si>
    <t>Karasova obecní knihovna</t>
  </si>
  <si>
    <t>Hutisko-Solanec 605</t>
  </si>
  <si>
    <t>Hutisko-Solanec</t>
  </si>
  <si>
    <t>VSG540</t>
  </si>
  <si>
    <t>Obecní veřejná knihovna Kateřinice</t>
  </si>
  <si>
    <t>Kateřinice 242</t>
  </si>
  <si>
    <t>Kateřinice</t>
  </si>
  <si>
    <t>VSG543</t>
  </si>
  <si>
    <t>Místní knihovna ve Valašské Bystřici</t>
  </si>
  <si>
    <t>Valašská Bystřice 318</t>
  </si>
  <si>
    <t>Valašská Bystřice</t>
  </si>
  <si>
    <t>VSG550</t>
  </si>
  <si>
    <t>Obecní knihovna Prlov</t>
  </si>
  <si>
    <t>Prlov 141</t>
  </si>
  <si>
    <t>Prlov</t>
  </si>
  <si>
    <t>VSG552</t>
  </si>
  <si>
    <t>Obecní knihovna Zašová</t>
  </si>
  <si>
    <t>Zašová 809</t>
  </si>
  <si>
    <t>Zašová</t>
  </si>
  <si>
    <t>VSG553</t>
  </si>
  <si>
    <t>Místní knihovna Liptál</t>
  </si>
  <si>
    <t>Liptál 465</t>
  </si>
  <si>
    <t>Liptál</t>
  </si>
  <si>
    <t>VSG559</t>
  </si>
  <si>
    <t>Obecní knihovna Poličná</t>
  </si>
  <si>
    <t>Poličná 144</t>
  </si>
  <si>
    <t>Poličná</t>
  </si>
  <si>
    <t>VSG802</t>
  </si>
  <si>
    <t>Informační středisko Obchodní akademie a VOŠ Valašské Meziříčí</t>
  </si>
  <si>
    <t>Masarykova 101/18, Krásno nad Bečvou</t>
  </si>
  <si>
    <t>VYG001</t>
  </si>
  <si>
    <t>Knihovna Karla Dvořáčka</t>
  </si>
  <si>
    <t>Nádražní 4</t>
  </si>
  <si>
    <t>Vyškov</t>
  </si>
  <si>
    <t>VYG002</t>
  </si>
  <si>
    <t>Místní knihovna Rostěnice - Zvonovice</t>
  </si>
  <si>
    <t>Rostěnice 109</t>
  </si>
  <si>
    <t>Rostěnice-Zvonovice</t>
  </si>
  <si>
    <t>VYG003</t>
  </si>
  <si>
    <t>Místní knihovna Medlovice</t>
  </si>
  <si>
    <t>Medlovice 12</t>
  </si>
  <si>
    <t>Medlovice</t>
  </si>
  <si>
    <t>VYG004</t>
  </si>
  <si>
    <t>Místní knihovna Moravské Prusy</t>
  </si>
  <si>
    <t>Moravské Prusy 156</t>
  </si>
  <si>
    <t>Moravské Prusy</t>
  </si>
  <si>
    <t>VYG005</t>
  </si>
  <si>
    <t>Místní knihovna v Topolanech</t>
  </si>
  <si>
    <t>Topolany 51</t>
  </si>
  <si>
    <t>Topolany</t>
  </si>
  <si>
    <t>VYG006</t>
  </si>
  <si>
    <t>Místní knihovna v Kučerově</t>
  </si>
  <si>
    <t>Kučerov 21</t>
  </si>
  <si>
    <t>Kučerov</t>
  </si>
  <si>
    <t>VYG007</t>
  </si>
  <si>
    <t>Místní knihovna Vážany</t>
  </si>
  <si>
    <t>Vážany 32</t>
  </si>
  <si>
    <t>Vážany</t>
  </si>
  <si>
    <t>VYG501</t>
  </si>
  <si>
    <t>Knihovna Anny Šperkové</t>
  </si>
  <si>
    <t>Zahradní 886</t>
  </si>
  <si>
    <t>Bučovice</t>
  </si>
  <si>
    <t>VYG502</t>
  </si>
  <si>
    <t>Městská knihovna Rousínov</t>
  </si>
  <si>
    <t>Sušilovo nám. 6</t>
  </si>
  <si>
    <t>Rousínov</t>
  </si>
  <si>
    <t>VYG503</t>
  </si>
  <si>
    <t>Knihovna městyse Brankovice</t>
  </si>
  <si>
    <t>Náměstí 101</t>
  </si>
  <si>
    <t>Brankovice</t>
  </si>
  <si>
    <t>VYG504</t>
  </si>
  <si>
    <t>Svárovská ulice</t>
  </si>
  <si>
    <t>Křenovice</t>
  </si>
  <si>
    <t>VYG505</t>
  </si>
  <si>
    <t>Mlýnská 367</t>
  </si>
  <si>
    <t>Ivanovice na Hané</t>
  </si>
  <si>
    <t>VYG506</t>
  </si>
  <si>
    <t>Místní knihovna v Drnovicích</t>
  </si>
  <si>
    <t>Drnovice 1</t>
  </si>
  <si>
    <t>VYG508</t>
  </si>
  <si>
    <t>Obecní knihovna Otnice</t>
  </si>
  <si>
    <t>Dědina 479</t>
  </si>
  <si>
    <t>Otnice</t>
  </si>
  <si>
    <t>VYG509</t>
  </si>
  <si>
    <t>Obecní knihovna Pustiměř</t>
  </si>
  <si>
    <t>Pustiměřské Prusy 79</t>
  </si>
  <si>
    <t>Pustiměř</t>
  </si>
  <si>
    <t>VYG510</t>
  </si>
  <si>
    <t>Místní knihovna Zelená Hora</t>
  </si>
  <si>
    <t>Zelená Hora 32</t>
  </si>
  <si>
    <t>Zelená Hora</t>
  </si>
  <si>
    <t>VYG511</t>
  </si>
  <si>
    <t>Místní knihovna v Bošovicích</t>
  </si>
  <si>
    <t>Náves 402</t>
  </si>
  <si>
    <t>Bošovice</t>
  </si>
  <si>
    <t>VYG512</t>
  </si>
  <si>
    <t>Místní knihovna v Hostěrádkách-Rešově</t>
  </si>
  <si>
    <t>Hostěrádky-Rešov 1</t>
  </si>
  <si>
    <t>Hostěrádky-Rešov</t>
  </si>
  <si>
    <t>VYG513</t>
  </si>
  <si>
    <t>Místní knihovna ve Hvězdlicích</t>
  </si>
  <si>
    <t>Nové Hvězdlice 168</t>
  </si>
  <si>
    <t>Městys Hvězdlice</t>
  </si>
  <si>
    <t>VYG514</t>
  </si>
  <si>
    <t>Obecní knihovna Holubice</t>
  </si>
  <si>
    <t>Holubice 61</t>
  </si>
  <si>
    <t>Holubice</t>
  </si>
  <si>
    <t>VYG515</t>
  </si>
  <si>
    <t>Místní knihovna Švábenice</t>
  </si>
  <si>
    <t>Švábenice 18</t>
  </si>
  <si>
    <t>Švábenice</t>
  </si>
  <si>
    <t>VYG516</t>
  </si>
  <si>
    <t>Místní knihovna v Kobeřicích u Brna</t>
  </si>
  <si>
    <t>Beneška 181</t>
  </si>
  <si>
    <t>Kobeřice u Brna</t>
  </si>
  <si>
    <t>VYG517</t>
  </si>
  <si>
    <t>Obecní knihovna Nemojany</t>
  </si>
  <si>
    <t>Nemojany 113</t>
  </si>
  <si>
    <t>Nemojany</t>
  </si>
  <si>
    <t>VYG518</t>
  </si>
  <si>
    <t>Místní knihovna Podbřežice</t>
  </si>
  <si>
    <t>Podbřežice 16</t>
  </si>
  <si>
    <t>Podbřežice</t>
  </si>
  <si>
    <t>VYG519</t>
  </si>
  <si>
    <t>Místní knihovna Hodějice</t>
  </si>
  <si>
    <t>Hodějice</t>
  </si>
  <si>
    <t>VYG520</t>
  </si>
  <si>
    <t>Místní knihovna Olšany</t>
  </si>
  <si>
    <t>Olšany 66</t>
  </si>
  <si>
    <t>Olšany</t>
  </si>
  <si>
    <t>VYG521</t>
  </si>
  <si>
    <t>Místní knihovna ve Zbýšově</t>
  </si>
  <si>
    <t>Zbýšov 7</t>
  </si>
  <si>
    <t>VYG522</t>
  </si>
  <si>
    <t>Obecní knihovna obce Hrušky</t>
  </si>
  <si>
    <t>Hrušky 69</t>
  </si>
  <si>
    <t>Hrušky</t>
  </si>
  <si>
    <t>VYG523</t>
  </si>
  <si>
    <t>Místní knihovna Račice</t>
  </si>
  <si>
    <t>Račice 300</t>
  </si>
  <si>
    <t>Račice</t>
  </si>
  <si>
    <t>VYG524</t>
  </si>
  <si>
    <t>Místní knihovna Pístovice</t>
  </si>
  <si>
    <t>Pístovice 96</t>
  </si>
  <si>
    <t>Pístovice</t>
  </si>
  <si>
    <t>VYG525</t>
  </si>
  <si>
    <t>Obecní knihovna Nesovice</t>
  </si>
  <si>
    <t>Nesovice 172</t>
  </si>
  <si>
    <t>Nesovice</t>
  </si>
  <si>
    <t>VYG526</t>
  </si>
  <si>
    <t>Místní knihovna Letonice</t>
  </si>
  <si>
    <t>U Zbrojnice 116</t>
  </si>
  <si>
    <t>Letonice</t>
  </si>
  <si>
    <t>VYG527</t>
  </si>
  <si>
    <t>Místní knihovna Drysice</t>
  </si>
  <si>
    <t>Drysice 10</t>
  </si>
  <si>
    <t>Drysice</t>
  </si>
  <si>
    <t>VYG528</t>
  </si>
  <si>
    <t>Obecní knihovna Vážany nad Litavou</t>
  </si>
  <si>
    <t>Vážany nad Litavou 98</t>
  </si>
  <si>
    <t>Vážany nad Litavou</t>
  </si>
  <si>
    <t>VYG529</t>
  </si>
  <si>
    <t>Obecní knihovna Milešovice</t>
  </si>
  <si>
    <t>Milešovice 251</t>
  </si>
  <si>
    <t>Milešovice</t>
  </si>
  <si>
    <t>VYG530</t>
  </si>
  <si>
    <t>Obecní knihovna Podomí</t>
  </si>
  <si>
    <t>Podomí 89</t>
  </si>
  <si>
    <t>Podomí</t>
  </si>
  <si>
    <t>VYG531</t>
  </si>
  <si>
    <t>Místní knihovna Chvalkovice u Bučovic</t>
  </si>
  <si>
    <t>Chvalkovice 61</t>
  </si>
  <si>
    <t>Chvalkovice u Bučovic</t>
  </si>
  <si>
    <t>VYG532</t>
  </si>
  <si>
    <t>Obecní knihovna v Hošticích-Herolticích</t>
  </si>
  <si>
    <t>Hoštice 78</t>
  </si>
  <si>
    <t>Hoštice-Heroltice</t>
  </si>
  <si>
    <t>VYG533</t>
  </si>
  <si>
    <t>Obecní knihovna Ruprechtov</t>
  </si>
  <si>
    <t>Ruprechtov 155</t>
  </si>
  <si>
    <t>Ruprechtov</t>
  </si>
  <si>
    <t>VYG534</t>
  </si>
  <si>
    <t>Místní knihovna Luleč</t>
  </si>
  <si>
    <t>Luleč 92</t>
  </si>
  <si>
    <t>Luleč</t>
  </si>
  <si>
    <t>VYG535</t>
  </si>
  <si>
    <t>Místní knihovna Šaratice</t>
  </si>
  <si>
    <t>Náves 1</t>
  </si>
  <si>
    <t>Šaratice</t>
  </si>
  <si>
    <t>VYG536</t>
  </si>
  <si>
    <t>Obecní knihovna Lovčičky</t>
  </si>
  <si>
    <t>Lovčičky 148</t>
  </si>
  <si>
    <t>Lovčičky</t>
  </si>
  <si>
    <t>VYG537</t>
  </si>
  <si>
    <t>Místní knihovna Habrovany</t>
  </si>
  <si>
    <t>Habrovany 13</t>
  </si>
  <si>
    <t>Habrovany</t>
  </si>
  <si>
    <t>VYG538</t>
  </si>
  <si>
    <t>Obecní knihovna Krásensko</t>
  </si>
  <si>
    <t>Krásensko 73</t>
  </si>
  <si>
    <t>Krásensko</t>
  </si>
  <si>
    <t>VYG539</t>
  </si>
  <si>
    <t>Místní knihovna Nížkovice</t>
  </si>
  <si>
    <t>Nížkovice 39</t>
  </si>
  <si>
    <t>Nížkovice</t>
  </si>
  <si>
    <t>VYG540</t>
  </si>
  <si>
    <t>Místní knihovna Velešovice</t>
  </si>
  <si>
    <t>Velešovice 278</t>
  </si>
  <si>
    <t>Velešovice</t>
  </si>
  <si>
    <t>VYG541</t>
  </si>
  <si>
    <t>Místní knihovna Ježkovice</t>
  </si>
  <si>
    <t>Ježkovice 31</t>
  </si>
  <si>
    <t>Ježkovice</t>
  </si>
  <si>
    <t>VYG542</t>
  </si>
  <si>
    <t>Uhřice 56</t>
  </si>
  <si>
    <t>VYG543</t>
  </si>
  <si>
    <t>Místní knihovna Lysovice</t>
  </si>
  <si>
    <t>Lysovice 68</t>
  </si>
  <si>
    <t>Lysovice</t>
  </si>
  <si>
    <t>VYG544</t>
  </si>
  <si>
    <t>Místní knihovna Moravské Málkovice</t>
  </si>
  <si>
    <t>Moravské Málkovice 16</t>
  </si>
  <si>
    <t>Moravské Málkovice</t>
  </si>
  <si>
    <t>VYG545</t>
  </si>
  <si>
    <t>Místní knihovna Orlovice</t>
  </si>
  <si>
    <t>Orlovice 112</t>
  </si>
  <si>
    <t>Orlovice</t>
  </si>
  <si>
    <t>VYG546</t>
  </si>
  <si>
    <t>Místní knihovna Snovídky</t>
  </si>
  <si>
    <t>Snovídky 1</t>
  </si>
  <si>
    <t>Snovídky</t>
  </si>
  <si>
    <t>VYG547</t>
  </si>
  <si>
    <t>Obecní knihovna Tučapy</t>
  </si>
  <si>
    <t>Tučapy 49</t>
  </si>
  <si>
    <t>VYG548</t>
  </si>
  <si>
    <t>Obecní knihovna v Dražovicích</t>
  </si>
  <si>
    <t>Dražovice 121</t>
  </si>
  <si>
    <t>Dražovice</t>
  </si>
  <si>
    <t>VYG549</t>
  </si>
  <si>
    <t>Místní knihovna Křižanovice</t>
  </si>
  <si>
    <t>Křižanovice 85</t>
  </si>
  <si>
    <t>Křižanovice</t>
  </si>
  <si>
    <t>VYG550</t>
  </si>
  <si>
    <t>Obecní knihovna Malínky</t>
  </si>
  <si>
    <t>Malínky 75</t>
  </si>
  <si>
    <t>Malínky</t>
  </si>
  <si>
    <t>VYG551</t>
  </si>
  <si>
    <t>Místní knihovna Kojátky</t>
  </si>
  <si>
    <t>Kojátky 155</t>
  </si>
  <si>
    <t>Kojátky</t>
  </si>
  <si>
    <t>VYG552</t>
  </si>
  <si>
    <t>Obecní knihovna v Nemochovicích</t>
  </si>
  <si>
    <t>Nemochovice 132</t>
  </si>
  <si>
    <t>Nemochovice</t>
  </si>
  <si>
    <t>VYG553</t>
  </si>
  <si>
    <t>Místní knihovna Milonice</t>
  </si>
  <si>
    <t>Milonice 118</t>
  </si>
  <si>
    <t>Milonice</t>
  </si>
  <si>
    <t>VYG554</t>
  </si>
  <si>
    <t>Obecní knihovna v Mouřínově</t>
  </si>
  <si>
    <t>Mouřínov 145</t>
  </si>
  <si>
    <t>Mouřínov</t>
  </si>
  <si>
    <t>VYG555</t>
  </si>
  <si>
    <t>Místní knihovna Komořany</t>
  </si>
  <si>
    <t>Komořany 53</t>
  </si>
  <si>
    <t>Komořany</t>
  </si>
  <si>
    <t>VYG556</t>
  </si>
  <si>
    <t>Obecní knihovna Němčany</t>
  </si>
  <si>
    <t>Němčany 145</t>
  </si>
  <si>
    <t>Němčany</t>
  </si>
  <si>
    <t>VYG557</t>
  </si>
  <si>
    <t>Místní knihovna Dětkovice</t>
  </si>
  <si>
    <t>Dětkovice 76</t>
  </si>
  <si>
    <t>Dětkovice</t>
  </si>
  <si>
    <t>VYG558</t>
  </si>
  <si>
    <t>Obecní knihovna v Radslavicích</t>
  </si>
  <si>
    <t>Radslavice 91</t>
  </si>
  <si>
    <t>Radslavice</t>
  </si>
  <si>
    <t>VYG559</t>
  </si>
  <si>
    <t>Obecní knihovna Bohdalice</t>
  </si>
  <si>
    <t>Bohdalice 125</t>
  </si>
  <si>
    <t>Bohdalice</t>
  </si>
  <si>
    <t>VYG560</t>
  </si>
  <si>
    <t>Místní knihovna Nevojice</t>
  </si>
  <si>
    <t>Nevojice 67</t>
  </si>
  <si>
    <t>Nevojice</t>
  </si>
  <si>
    <t>VYG561</t>
  </si>
  <si>
    <t>Místní knihovna Kozlany</t>
  </si>
  <si>
    <t>Kozlany 36</t>
  </si>
  <si>
    <t>Kozlany</t>
  </si>
  <si>
    <t>VYG562</t>
  </si>
  <si>
    <t>Místní knihovna Nemotice</t>
  </si>
  <si>
    <t>Nemotice 106</t>
  </si>
  <si>
    <t>Nemotice</t>
  </si>
  <si>
    <t>VYG563</t>
  </si>
  <si>
    <t>Místní knihovna Nové Sady</t>
  </si>
  <si>
    <t>Nové Sady 5</t>
  </si>
  <si>
    <t>Nové Sady</t>
  </si>
  <si>
    <t>VYG564</t>
  </si>
  <si>
    <t>Místní knihovna Podivice</t>
  </si>
  <si>
    <t>Podivice 76</t>
  </si>
  <si>
    <t>Podivice</t>
  </si>
  <si>
    <t>VYG565</t>
  </si>
  <si>
    <t>Obecní knihovna Rašovice</t>
  </si>
  <si>
    <t>Rašovice 35</t>
  </si>
  <si>
    <t>Rašovice</t>
  </si>
  <si>
    <t>VYG566</t>
  </si>
  <si>
    <t>Obecní knihovna Mouchnice</t>
  </si>
  <si>
    <t>Mouchnice 7</t>
  </si>
  <si>
    <t>Mouchnice</t>
  </si>
  <si>
    <t>VYG567</t>
  </si>
  <si>
    <t>Obecní knihovna Heršpice</t>
  </si>
  <si>
    <t>Heršpice 91</t>
  </si>
  <si>
    <t>Heršpice</t>
  </si>
  <si>
    <t>VYG568</t>
  </si>
  <si>
    <t>Místní knihovna ve Studnicích</t>
  </si>
  <si>
    <t>Studnice 66</t>
  </si>
  <si>
    <t>ZLG001</t>
  </si>
  <si>
    <t>Krajská knihovna Františka Bartoše ve Zlíně, příspěvková organizace</t>
  </si>
  <si>
    <t>Vavrečkova 7040, budova 15</t>
  </si>
  <si>
    <t>Zlín</t>
  </si>
  <si>
    <t>ZLG003</t>
  </si>
  <si>
    <t>Obecní knihovna v Březnici</t>
  </si>
  <si>
    <t>Březnice 20</t>
  </si>
  <si>
    <t>Březnice</t>
  </si>
  <si>
    <t>ZLG004</t>
  </si>
  <si>
    <t>Lhota 239</t>
  </si>
  <si>
    <t>ZLG005</t>
  </si>
  <si>
    <t>Obecní knihovna v Tečovicích</t>
  </si>
  <si>
    <t>Tečovice 185</t>
  </si>
  <si>
    <t>Tečovice</t>
  </si>
  <si>
    <t>ZLG006</t>
  </si>
  <si>
    <t>Místní knihovna Racková</t>
  </si>
  <si>
    <t>Racková 45</t>
  </si>
  <si>
    <t>Racková</t>
  </si>
  <si>
    <t>ZLG501</t>
  </si>
  <si>
    <t>Městská knihovna Slavičín</t>
  </si>
  <si>
    <t>Osvobození 255</t>
  </si>
  <si>
    <t>Slavičín</t>
  </si>
  <si>
    <t>ZLG502</t>
  </si>
  <si>
    <t>Masarykovo nám. 942</t>
  </si>
  <si>
    <t>Valašské Klobouky</t>
  </si>
  <si>
    <t>Pobočka Smolina 19</t>
  </si>
  <si>
    <t>ZLG503</t>
  </si>
  <si>
    <t>Městská knihovna v Brumově-Bylnici</t>
  </si>
  <si>
    <t>Družba 1188</t>
  </si>
  <si>
    <t>Brumov-Bylnice</t>
  </si>
  <si>
    <t>ZLG505</t>
  </si>
  <si>
    <t>Knihovna Boženy Benešové Napajedla</t>
  </si>
  <si>
    <t>Komenského 304</t>
  </si>
  <si>
    <t>Napajedla</t>
  </si>
  <si>
    <t>ZLG506</t>
  </si>
  <si>
    <t>Městská knihovna Luhačovice</t>
  </si>
  <si>
    <t>Masarykova 350</t>
  </si>
  <si>
    <t>Luhačovice</t>
  </si>
  <si>
    <t>ZLG507</t>
  </si>
  <si>
    <t>Městská knihovna Josefa Čižmáře Vizovice</t>
  </si>
  <si>
    <t>Masarykovo nám. 1007</t>
  </si>
  <si>
    <t>Vizovice</t>
  </si>
  <si>
    <t>ZLG508</t>
  </si>
  <si>
    <t>Městská knihovna Fryšták</t>
  </si>
  <si>
    <t>nám. Míru 382</t>
  </si>
  <si>
    <t>Fryšták</t>
  </si>
  <si>
    <t>ZLG509</t>
  </si>
  <si>
    <t>Městská knihovna Otrokovice</t>
  </si>
  <si>
    <t>nám. 3.května 1340</t>
  </si>
  <si>
    <t>Otrokovice</t>
  </si>
  <si>
    <t>ZLG510</t>
  </si>
  <si>
    <t>Městská knihovna ve Slušovicích</t>
  </si>
  <si>
    <t>nám. Svobody 34</t>
  </si>
  <si>
    <t>Slušovice</t>
  </si>
  <si>
    <t>ZLG511</t>
  </si>
  <si>
    <t>Obecní knihovna Vlachovice</t>
  </si>
  <si>
    <t>Vlachovice 260</t>
  </si>
  <si>
    <t>Vlachovice</t>
  </si>
  <si>
    <t>ZLG512</t>
  </si>
  <si>
    <t>Obecní knihovna Lutonina</t>
  </si>
  <si>
    <t>Lutonina 114</t>
  </si>
  <si>
    <t>Lutonina</t>
  </si>
  <si>
    <t>ZLG513</t>
  </si>
  <si>
    <t>Obecní knihovna Rokytnice</t>
  </si>
  <si>
    <t>Rokytnice 41</t>
  </si>
  <si>
    <t>Rokytnice</t>
  </si>
  <si>
    <t>ZLG514</t>
  </si>
  <si>
    <t>Místní knihovna Pozlovice</t>
  </si>
  <si>
    <t>Hlavní 51</t>
  </si>
  <si>
    <t>Pozlovice</t>
  </si>
  <si>
    <t>ZLG515</t>
  </si>
  <si>
    <t>Újezd 190</t>
  </si>
  <si>
    <t>ZLG516</t>
  </si>
  <si>
    <t>Místní knihovna v Návojné</t>
  </si>
  <si>
    <t>Návojná 101</t>
  </si>
  <si>
    <t>Návojná</t>
  </si>
  <si>
    <t>ZLG517</t>
  </si>
  <si>
    <t>Obecní knihovna ve Vysokém Poli</t>
  </si>
  <si>
    <t>Vysoké Pole 118</t>
  </si>
  <si>
    <t>Vysoké Pole</t>
  </si>
  <si>
    <t>ZLG518</t>
  </si>
  <si>
    <t>Knihovna obce Lukov</t>
  </si>
  <si>
    <t>Pod Kaštany 32</t>
  </si>
  <si>
    <t>Lukov</t>
  </si>
  <si>
    <t>ZLG519</t>
  </si>
  <si>
    <t>Místní knihovna v Tlumačově</t>
  </si>
  <si>
    <t>nám. Komenského 170</t>
  </si>
  <si>
    <t>Tlumačov</t>
  </si>
  <si>
    <t>ZLG520</t>
  </si>
  <si>
    <t>Obecní knihovna Oldřichovice</t>
  </si>
  <si>
    <t>Oldřichovice 86</t>
  </si>
  <si>
    <t>Oldřichovice</t>
  </si>
  <si>
    <t>ZLG521</t>
  </si>
  <si>
    <t>Místní knihovna v Doubravách</t>
  </si>
  <si>
    <t>Doubravy 45</t>
  </si>
  <si>
    <t>Doubravy</t>
  </si>
  <si>
    <t>ZLG522</t>
  </si>
  <si>
    <t>Místní knihovna ve Žlutavě</t>
  </si>
  <si>
    <t>Žlutava 271</t>
  </si>
  <si>
    <t>Žlutava</t>
  </si>
  <si>
    <t>ZLG523</t>
  </si>
  <si>
    <t>Obecní knihovna v Bohuslavicích u Zlína</t>
  </si>
  <si>
    <t>Bohuslavice u Zlína 185</t>
  </si>
  <si>
    <t>Bohuslavice u Zlína</t>
  </si>
  <si>
    <t>ZLG524</t>
  </si>
  <si>
    <t>Místní knihovna Hřivínův Újezd</t>
  </si>
  <si>
    <t>Hřivínův Újezd 50</t>
  </si>
  <si>
    <t>Hřivínův Újezd</t>
  </si>
  <si>
    <t>ZLG525</t>
  </si>
  <si>
    <t>Březová 36</t>
  </si>
  <si>
    <t>ZLG526</t>
  </si>
  <si>
    <t>KNIHOVNA - Infocentrum obec Hostišová</t>
  </si>
  <si>
    <t>Hostišová 85</t>
  </si>
  <si>
    <t>Mysločovice</t>
  </si>
  <si>
    <t>ZLG527</t>
  </si>
  <si>
    <t>Obecní knihovna v Kašavě</t>
  </si>
  <si>
    <t>Kašava 217</t>
  </si>
  <si>
    <t>Kašava</t>
  </si>
  <si>
    <t>ZLG528</t>
  </si>
  <si>
    <t>Obecní knihovna Kaňovice</t>
  </si>
  <si>
    <t>Kaňovice 49</t>
  </si>
  <si>
    <t>Kaňovice</t>
  </si>
  <si>
    <t>ZLG529</t>
  </si>
  <si>
    <t>Veřejná obecní knihovna v Sehradicích</t>
  </si>
  <si>
    <t>Sehradice 18</t>
  </si>
  <si>
    <t>Sehradice</t>
  </si>
  <si>
    <t>ZLG530</t>
  </si>
  <si>
    <t>Obecní knihovna Hvozdná</t>
  </si>
  <si>
    <t>Záhumenní 325</t>
  </si>
  <si>
    <t>Hvozdná</t>
  </si>
  <si>
    <t>ZLG531</t>
  </si>
  <si>
    <t>Obecní knihovna v Neubuzi</t>
  </si>
  <si>
    <t>Neubuz 91</t>
  </si>
  <si>
    <t>Neubuz</t>
  </si>
  <si>
    <t>ZLG532</t>
  </si>
  <si>
    <t>Obecní knihovna Lhotsko</t>
  </si>
  <si>
    <t>Lhotsko 57</t>
  </si>
  <si>
    <t>Lhotsko</t>
  </si>
  <si>
    <t>ZLG533</t>
  </si>
  <si>
    <t>Místní lidová knihovna Horní Lhota</t>
  </si>
  <si>
    <t>Horní Lhota 27</t>
  </si>
  <si>
    <t>Horní Lhota</t>
  </si>
  <si>
    <t>ZLG534</t>
  </si>
  <si>
    <t>Drnovice 113</t>
  </si>
  <si>
    <t>ZLG535</t>
  </si>
  <si>
    <t>Místní knihovna Nedašova Lhota</t>
  </si>
  <si>
    <t>Nedašova Lhota 10</t>
  </si>
  <si>
    <t>Nedašova Lhota</t>
  </si>
  <si>
    <t>ZLG536</t>
  </si>
  <si>
    <t>Obecní knihovna Mysločovice</t>
  </si>
  <si>
    <t>Mysločovice 21</t>
  </si>
  <si>
    <t>ZLG537</t>
  </si>
  <si>
    <t>Místní knihovna Dolní Lhota</t>
  </si>
  <si>
    <t>Dolní Lhota 23</t>
  </si>
  <si>
    <t>Dolní Lhota</t>
  </si>
  <si>
    <t>ZLG538</t>
  </si>
  <si>
    <t>Obecní knihovna Jasenná</t>
  </si>
  <si>
    <t>Jasenná 54</t>
  </si>
  <si>
    <t>Jasenná</t>
  </si>
  <si>
    <t>ZLG539</t>
  </si>
  <si>
    <t>Obecní knihovna v Biskupicích</t>
  </si>
  <si>
    <t>Biskupice 183</t>
  </si>
  <si>
    <t>Biskupice</t>
  </si>
  <si>
    <t>ZLG540</t>
  </si>
  <si>
    <t>Knihovna Machová</t>
  </si>
  <si>
    <t>Machová 120</t>
  </si>
  <si>
    <t>Machová</t>
  </si>
  <si>
    <t>ZLG541</t>
  </si>
  <si>
    <t>Obecní knihovna Slopné</t>
  </si>
  <si>
    <t>Slopné 124</t>
  </si>
  <si>
    <t>Slopné</t>
  </si>
  <si>
    <t>ZLG542</t>
  </si>
  <si>
    <t>Základní knihovna Velký Ořechov</t>
  </si>
  <si>
    <t>Velký Ořechov 27</t>
  </si>
  <si>
    <t>Velký Ořechov</t>
  </si>
  <si>
    <t>ZLG543</t>
  </si>
  <si>
    <t>Obecní knihovna v Dobrkovicích</t>
  </si>
  <si>
    <t>Dobrkovice 61</t>
  </si>
  <si>
    <t>Dobrkovice</t>
  </si>
  <si>
    <t>ZLG544</t>
  </si>
  <si>
    <t>Místní knihovna ve Veselé</t>
  </si>
  <si>
    <t>Veselá 33</t>
  </si>
  <si>
    <t>Veselá</t>
  </si>
  <si>
    <t>ZLG545</t>
  </si>
  <si>
    <t>Obecní knihovna Lípa</t>
  </si>
  <si>
    <t>Lípa 220</t>
  </si>
  <si>
    <t>Želechovice</t>
  </si>
  <si>
    <t>ZLG546</t>
  </si>
  <si>
    <t>Obecní knihovna v Bratřejově</t>
  </si>
  <si>
    <t>Bratřejov 226</t>
  </si>
  <si>
    <t>Bratřejov</t>
  </si>
  <si>
    <t>ZLG547</t>
  </si>
  <si>
    <t>Obecní knihovna Šanov</t>
  </si>
  <si>
    <t>Šanov 77</t>
  </si>
  <si>
    <t>ZLG548</t>
  </si>
  <si>
    <t>Místní knihovna Zádveřice-Raková</t>
  </si>
  <si>
    <t>Zádveřice 460</t>
  </si>
  <si>
    <t>Zádveřice-Raková</t>
  </si>
  <si>
    <t>ZLG549</t>
  </si>
  <si>
    <t>Místní knihovna ve Vlachově Lhotě</t>
  </si>
  <si>
    <t>Vlachova Lhota 81</t>
  </si>
  <si>
    <t>Vlachova Lhota</t>
  </si>
  <si>
    <t>ZLG550</t>
  </si>
  <si>
    <t>Obecní knihovna v Tichově</t>
  </si>
  <si>
    <t>Tichov 107</t>
  </si>
  <si>
    <t>Tichov</t>
  </si>
  <si>
    <t>ZLG551</t>
  </si>
  <si>
    <t>Místní knihovna Ludkovice</t>
  </si>
  <si>
    <t>Ludkovice 44</t>
  </si>
  <si>
    <t>Ludkovice</t>
  </si>
  <si>
    <t>ZLG552</t>
  </si>
  <si>
    <t>Místní knihovna Všemina</t>
  </si>
  <si>
    <t>Všemina 162</t>
  </si>
  <si>
    <t>Všemina</t>
  </si>
  <si>
    <t>ZLG553</t>
  </si>
  <si>
    <t>Lipová 17</t>
  </si>
  <si>
    <t>ZLG554</t>
  </si>
  <si>
    <t>Obecní knihovna v Bohuslavicích nad Vláří</t>
  </si>
  <si>
    <t>Bohuslavice nad Vláří 62</t>
  </si>
  <si>
    <t>ZLG555</t>
  </si>
  <si>
    <t>Místní knihovna v Dešné</t>
  </si>
  <si>
    <t>Dešná 88</t>
  </si>
  <si>
    <t>Dešná</t>
  </si>
  <si>
    <t>ZLG556</t>
  </si>
  <si>
    <t>Místní knihovna v Haluzicích</t>
  </si>
  <si>
    <t>Haluzice 19</t>
  </si>
  <si>
    <t>ZLG557</t>
  </si>
  <si>
    <t>Místní knihovna v Komárově</t>
  </si>
  <si>
    <t>Komárov 124</t>
  </si>
  <si>
    <t>Komárov</t>
  </si>
  <si>
    <t>ZLG558</t>
  </si>
  <si>
    <t>Obecní knihovna Sazovice</t>
  </si>
  <si>
    <t>Sazovice 180</t>
  </si>
  <si>
    <t>Sazovice</t>
  </si>
  <si>
    <t>ZLG559</t>
  </si>
  <si>
    <t>Obecní knihovna v Březůvkách</t>
  </si>
  <si>
    <t>Březůvky 1</t>
  </si>
  <si>
    <t>Březůvky</t>
  </si>
  <si>
    <t>ZLG560</t>
  </si>
  <si>
    <t>Místní knihovna obce Halenkovice</t>
  </si>
  <si>
    <t>Halenkovice 76</t>
  </si>
  <si>
    <t>Halenkovice</t>
  </si>
  <si>
    <t>ZLG561</t>
  </si>
  <si>
    <t>Obecní knihovna Rudimov</t>
  </si>
  <si>
    <t>Rudimov 81</t>
  </si>
  <si>
    <t>Rudimov</t>
  </si>
  <si>
    <t>ZLG562</t>
  </si>
  <si>
    <t>Obecní knihovna v Držkové</t>
  </si>
  <si>
    <t>Držková 106</t>
  </si>
  <si>
    <t>ZLG563</t>
  </si>
  <si>
    <t>Místní knihovna v Karlovicích</t>
  </si>
  <si>
    <t>Karlovice 47</t>
  </si>
  <si>
    <t>Karlovice</t>
  </si>
  <si>
    <t>ZLG564</t>
  </si>
  <si>
    <t>Místní knihovna Vlčková</t>
  </si>
  <si>
    <t>Vlčková 136</t>
  </si>
  <si>
    <t>Vlčková</t>
  </si>
  <si>
    <t>ZLG565</t>
  </si>
  <si>
    <t>Místní knihovna v Uble</t>
  </si>
  <si>
    <t>Ublo 74</t>
  </si>
  <si>
    <t>Ublo</t>
  </si>
  <si>
    <t>ZLG566</t>
  </si>
  <si>
    <t>Obecní knihovna v Petrůvce</t>
  </si>
  <si>
    <t>Petrůvka 90</t>
  </si>
  <si>
    <t>Petrůvka</t>
  </si>
  <si>
    <t>ZLG567</t>
  </si>
  <si>
    <t>Místní knihovna Trnava</t>
  </si>
  <si>
    <t>Trnava u Zlína 58</t>
  </si>
  <si>
    <t>Trnava</t>
  </si>
  <si>
    <t>ZLG568</t>
  </si>
  <si>
    <t>Obecní knihovna Loučka</t>
  </si>
  <si>
    <t>Loučka 141</t>
  </si>
  <si>
    <t>ZLG569</t>
  </si>
  <si>
    <t>Obecní knihovna Jestřabí</t>
  </si>
  <si>
    <t>Jestřabí 1</t>
  </si>
  <si>
    <t>Štítná nad Vláří</t>
  </si>
  <si>
    <t>ZLG570</t>
  </si>
  <si>
    <t>Místní knihovna Nedašov</t>
  </si>
  <si>
    <t>Nedašov 370</t>
  </si>
  <si>
    <t>Nedašov</t>
  </si>
  <si>
    <t>ZLG571</t>
  </si>
  <si>
    <t>Obecní knihovna Kelníky</t>
  </si>
  <si>
    <t>Kelníky 1</t>
  </si>
  <si>
    <t>ZLG572</t>
  </si>
  <si>
    <t>Obecní knihovna v Lukovečku</t>
  </si>
  <si>
    <t>Přílepská 120</t>
  </si>
  <si>
    <t>Lukoveček</t>
  </si>
  <si>
    <t>ZLG573</t>
  </si>
  <si>
    <t>Obecní knihovna Podhradí</t>
  </si>
  <si>
    <t>Podhradí 21</t>
  </si>
  <si>
    <t>Podhradí</t>
  </si>
  <si>
    <t>ZLG574</t>
  </si>
  <si>
    <t>Obecní knihovna v Hrobicích</t>
  </si>
  <si>
    <t>Hrobice 92</t>
  </si>
  <si>
    <t>Hrobice</t>
  </si>
  <si>
    <t>ZLG575</t>
  </si>
  <si>
    <t>Obecní knihovna Poteč</t>
  </si>
  <si>
    <t>Poteč 12</t>
  </si>
  <si>
    <t>ZLG576</t>
  </si>
  <si>
    <t>Obecní knihovna Pohořelice</t>
  </si>
  <si>
    <t>Zámek 39</t>
  </si>
  <si>
    <t>Pohořelice</t>
  </si>
  <si>
    <t>ZLG577</t>
  </si>
  <si>
    <t>Místní knihovna v Křekově</t>
  </si>
  <si>
    <t>Křekov 5</t>
  </si>
  <si>
    <t>Křekov</t>
  </si>
  <si>
    <t>ZLG578</t>
  </si>
  <si>
    <t>Veřejná knihovna obce Spytihněv</t>
  </si>
  <si>
    <t>Spytihněv 520</t>
  </si>
  <si>
    <t>Spytihněv</t>
  </si>
  <si>
    <t>ZLG579</t>
  </si>
  <si>
    <t>Obecní knihovna Ostrata</t>
  </si>
  <si>
    <t>Ostrata 54</t>
  </si>
  <si>
    <t>ZLG580</t>
  </si>
  <si>
    <t>Obecní knihovna Provodov</t>
  </si>
  <si>
    <t>Provodov 90</t>
  </si>
  <si>
    <t>Provodov</t>
  </si>
  <si>
    <t>ZLG581</t>
  </si>
  <si>
    <t>Obecní knihovna v Šarovech</t>
  </si>
  <si>
    <t>Šarovy 100</t>
  </si>
  <si>
    <t>ZLG582</t>
  </si>
  <si>
    <t>Místní knihovna v Podkopné Lhotě</t>
  </si>
  <si>
    <t>Podkopná Lhota 100</t>
  </si>
  <si>
    <t>Podkopná Lhota</t>
  </si>
  <si>
    <t>ZLG583</t>
  </si>
  <si>
    <t>Obecní knihovna v Želechovicích nad Dřevnicí</t>
  </si>
  <si>
    <t>4. května 68</t>
  </si>
  <si>
    <t>Želechovice nad Dřevnicí</t>
  </si>
  <si>
    <t>ZNG001</t>
  </si>
  <si>
    <t>Městská knihovna Znojmo</t>
  </si>
  <si>
    <t>Zámečnická 288/9</t>
  </si>
  <si>
    <t>Znojmo</t>
  </si>
  <si>
    <t>ZNG501</t>
  </si>
  <si>
    <t>nám. T.G. Masaryka 35</t>
  </si>
  <si>
    <t>Moravský Krumlov</t>
  </si>
  <si>
    <t>ZNG530</t>
  </si>
  <si>
    <t>Obecní knihovna v Pravicích</t>
  </si>
  <si>
    <t>Pravice 70</t>
  </si>
  <si>
    <t>Pravice</t>
  </si>
  <si>
    <t>ZNG533</t>
  </si>
  <si>
    <t>Místní knihovna ve Vratěníně</t>
  </si>
  <si>
    <t>Vratěnín 88</t>
  </si>
  <si>
    <t>Vratěnín</t>
  </si>
  <si>
    <t>ZRE804</t>
  </si>
  <si>
    <t>Novoměstská kulturní zařízení - Horácké muzeum - Knihovna</t>
  </si>
  <si>
    <t>Vratislavovo nám. 114</t>
  </si>
  <si>
    <t>Nové Město na Moravě</t>
  </si>
  <si>
    <t>ZRG001</t>
  </si>
  <si>
    <t>Knihovna Matěje Josefa Sychry, Žďár nad Sázavou</t>
  </si>
  <si>
    <t>Havlíčkovo náměstí 5</t>
  </si>
  <si>
    <t>Žďár nad Sázavou</t>
  </si>
  <si>
    <t>Pouze za veřejnou produkci</t>
  </si>
  <si>
    <t>ZRG503</t>
  </si>
  <si>
    <t>Městská knihovna Velké Meziříčí</t>
  </si>
  <si>
    <t>Poštovní 1392/22</t>
  </si>
  <si>
    <t>Velké Meziříčí</t>
  </si>
  <si>
    <t>ZRG508</t>
  </si>
  <si>
    <t>Pionýrská 370</t>
  </si>
  <si>
    <t>Svratka</t>
  </si>
  <si>
    <t>ZRG520</t>
  </si>
  <si>
    <t>Místní lidová knihovna v Dalečíně</t>
  </si>
  <si>
    <t>Dalečín 170</t>
  </si>
  <si>
    <t>Dalečín</t>
  </si>
  <si>
    <t>ZRG593</t>
  </si>
  <si>
    <t>Místní knihovna ve Znětínku</t>
  </si>
  <si>
    <t>Znětínek 2</t>
  </si>
  <si>
    <t>Znětínek</t>
  </si>
  <si>
    <t>Býšť 133</t>
  </si>
  <si>
    <t>533 22</t>
  </si>
  <si>
    <t xml:space="preserve">Býšť </t>
  </si>
  <si>
    <t>PAG506</t>
  </si>
  <si>
    <t>Seznam knihoven, které půjčují zvukové dokumenty  v rámci výměnných souborů (2018)</t>
  </si>
  <si>
    <t>Knihovna Justiční akademie</t>
  </si>
  <si>
    <t>767 01</t>
  </si>
  <si>
    <t>Masarykovo nám. 183</t>
  </si>
  <si>
    <t>Zlínský kraj</t>
  </si>
  <si>
    <t>specializovaná knihovna</t>
  </si>
  <si>
    <t>Divadelní ústav - knihovna</t>
  </si>
  <si>
    <t>Celetná 17</t>
  </si>
  <si>
    <t>110 00</t>
  </si>
  <si>
    <t>Praha 1</t>
  </si>
  <si>
    <t>Ústav vědeckých informací 1. LF UK a VFN</t>
  </si>
  <si>
    <t>U Nemocnice 4</t>
  </si>
  <si>
    <t>121 08</t>
  </si>
  <si>
    <t>Praha 2</t>
  </si>
  <si>
    <t>Městská knihovna ve Frýdku-Místku</t>
  </si>
  <si>
    <t>Jiráskova 506</t>
  </si>
  <si>
    <t xml:space="preserve">Seznam knihoven, které půjčují zvukové záznamy z vlastních fondů v roce 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</si>
</sst>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7" fontId="0" fillId="0" borderId="0" xfId="0" applyNumberFormat="1"/>
    <xf numFmtId="0" fontId="16" fillId="33" borderId="0" xfId="0" applyFont="1" applyFill="1"/>
    <xf numFmtId="0" fontId="16" fillId="3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/>
    <xf numFmtId="0" fontId="0" fillId="0" borderId="0" xfId="0" applyAlignme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0"/>
  <sheetViews>
    <sheetView tabSelected="1" topLeftCell="A361" workbookViewId="0">
      <selection activeCell="I231" sqref="I231"/>
    </sheetView>
  </sheetViews>
  <sheetFormatPr defaultRowHeight="15" x14ac:dyDescent="0.25"/>
  <cols>
    <col min="1" max="1" width="14.7109375" style="4" bestFit="1" customWidth="1"/>
    <col min="2" max="2" width="9.140625" style="4"/>
    <col min="3" max="3" width="64" customWidth="1"/>
    <col min="4" max="4" width="27.42578125" customWidth="1"/>
    <col min="6" max="6" width="18.5703125" customWidth="1"/>
    <col min="7" max="7" width="18.140625" bestFit="1" customWidth="1"/>
    <col min="8" max="8" width="34.7109375" bestFit="1" customWidth="1"/>
    <col min="9" max="9" width="252.7109375" bestFit="1" customWidth="1"/>
  </cols>
  <sheetData>
    <row r="1" spans="1:9" ht="40.5" customHeight="1" x14ac:dyDescent="0.25">
      <c r="A1" s="7" t="s">
        <v>5287</v>
      </c>
      <c r="B1" s="7"/>
      <c r="C1" s="7"/>
      <c r="D1" s="7"/>
      <c r="E1" s="7"/>
      <c r="F1" s="7"/>
      <c r="G1" s="7"/>
      <c r="H1" s="7"/>
      <c r="I1" s="6"/>
    </row>
    <row r="2" spans="1:9" x14ac:dyDescent="0.25">
      <c r="A2" s="3" t="s">
        <v>0</v>
      </c>
      <c r="B2" s="3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9</v>
      </c>
    </row>
    <row r="3" spans="1:9" x14ac:dyDescent="0.25">
      <c r="A3" s="4" t="str">
        <f>"1602"</f>
        <v>1602</v>
      </c>
      <c r="B3" s="4" t="s">
        <v>10</v>
      </c>
      <c r="C3" t="s">
        <v>11</v>
      </c>
      <c r="D3" t="s">
        <v>12</v>
      </c>
      <c r="E3" t="str">
        <f>"110 00"</f>
        <v>110 00</v>
      </c>
      <c r="F3" t="s">
        <v>13</v>
      </c>
      <c r="G3" t="s">
        <v>14</v>
      </c>
      <c r="H3" t="s">
        <v>15</v>
      </c>
    </row>
    <row r="4" spans="1:9" x14ac:dyDescent="0.25">
      <c r="A4" s="4" t="str">
        <f>"1602"</f>
        <v>1602</v>
      </c>
      <c r="B4" s="4" t="s">
        <v>16</v>
      </c>
      <c r="C4" t="s">
        <v>17</v>
      </c>
      <c r="D4" t="s">
        <v>12</v>
      </c>
      <c r="E4" t="str">
        <f>"110 00"</f>
        <v>110 00</v>
      </c>
      <c r="F4" t="s">
        <v>13</v>
      </c>
      <c r="G4" t="s">
        <v>14</v>
      </c>
      <c r="H4" t="s">
        <v>15</v>
      </c>
    </row>
    <row r="5" spans="1:9" x14ac:dyDescent="0.25">
      <c r="A5" s="4" t="str">
        <f>"5962"</f>
        <v>5962</v>
      </c>
      <c r="B5" s="4" t="s">
        <v>18</v>
      </c>
      <c r="C5" t="s">
        <v>19</v>
      </c>
      <c r="D5" t="s">
        <v>20</v>
      </c>
      <c r="E5" t="str">
        <f>"130 67"</f>
        <v>130 67</v>
      </c>
      <c r="F5" t="s">
        <v>13</v>
      </c>
      <c r="G5" t="s">
        <v>14</v>
      </c>
      <c r="H5" t="s">
        <v>21</v>
      </c>
    </row>
    <row r="6" spans="1:9" x14ac:dyDescent="0.25">
      <c r="A6" s="4" t="str">
        <f>"3415"</f>
        <v>3415</v>
      </c>
      <c r="B6" s="4" t="s">
        <v>22</v>
      </c>
      <c r="C6" t="s">
        <v>23</v>
      </c>
      <c r="D6" t="s">
        <v>24</v>
      </c>
      <c r="E6" t="str">
        <f>"121 32"</f>
        <v>121 32</v>
      </c>
      <c r="F6" t="s">
        <v>13</v>
      </c>
      <c r="G6" t="s">
        <v>14</v>
      </c>
      <c r="H6" t="s">
        <v>25</v>
      </c>
    </row>
    <row r="7" spans="1:9" x14ac:dyDescent="0.25">
      <c r="A7" s="4" t="str">
        <f>"3426"</f>
        <v>3426</v>
      </c>
      <c r="B7" s="4" t="s">
        <v>26</v>
      </c>
      <c r="C7" t="s">
        <v>27</v>
      </c>
      <c r="D7" t="s">
        <v>28</v>
      </c>
      <c r="E7" t="str">
        <f>"120 00"</f>
        <v>120 00</v>
      </c>
      <c r="F7" t="s">
        <v>13</v>
      </c>
      <c r="G7" t="s">
        <v>14</v>
      </c>
      <c r="H7" t="s">
        <v>25</v>
      </c>
    </row>
    <row r="8" spans="1:9" x14ac:dyDescent="0.25">
      <c r="A8" s="4" t="str">
        <f>"3116"</f>
        <v>3116</v>
      </c>
      <c r="B8" s="4" t="s">
        <v>29</v>
      </c>
      <c r="C8" t="s">
        <v>30</v>
      </c>
      <c r="D8" t="s">
        <v>31</v>
      </c>
      <c r="E8" t="str">
        <f>"110 00"</f>
        <v>110 00</v>
      </c>
      <c r="F8" t="s">
        <v>13</v>
      </c>
      <c r="G8" t="s">
        <v>14</v>
      </c>
      <c r="H8" t="s">
        <v>25</v>
      </c>
    </row>
    <row r="9" spans="1:9" x14ac:dyDescent="0.25">
      <c r="A9" s="4" t="str">
        <f>"1603"</f>
        <v>1603</v>
      </c>
      <c r="B9" s="4" t="s">
        <v>32</v>
      </c>
      <c r="C9" t="s">
        <v>33</v>
      </c>
      <c r="D9" t="s">
        <v>34</v>
      </c>
      <c r="E9" t="str">
        <f>"118 26"</f>
        <v>118 26</v>
      </c>
      <c r="F9" t="s">
        <v>13</v>
      </c>
      <c r="G9" t="s">
        <v>14</v>
      </c>
      <c r="H9" t="s">
        <v>35</v>
      </c>
    </row>
    <row r="10" spans="1:9" x14ac:dyDescent="0.25">
      <c r="A10" s="4" t="str">
        <f>"3226"</f>
        <v>3226</v>
      </c>
      <c r="B10" s="4" t="s">
        <v>36</v>
      </c>
      <c r="C10" t="s">
        <v>37</v>
      </c>
      <c r="D10" t="s">
        <v>38</v>
      </c>
      <c r="E10" t="str">
        <f>"110 00"</f>
        <v>110 00</v>
      </c>
      <c r="F10" t="s">
        <v>13</v>
      </c>
      <c r="G10" t="s">
        <v>14</v>
      </c>
      <c r="H10" t="s">
        <v>39</v>
      </c>
    </row>
    <row r="11" spans="1:9" x14ac:dyDescent="0.25">
      <c r="A11" s="4" t="str">
        <f>"264"</f>
        <v>264</v>
      </c>
      <c r="B11" s="4" t="s">
        <v>40</v>
      </c>
      <c r="C11" t="s">
        <v>41</v>
      </c>
      <c r="D11" t="s">
        <v>42</v>
      </c>
      <c r="E11" t="str">
        <f>"160 80"</f>
        <v>160 80</v>
      </c>
      <c r="F11" t="s">
        <v>13</v>
      </c>
      <c r="G11" t="s">
        <v>14</v>
      </c>
      <c r="H11" t="s">
        <v>25</v>
      </c>
    </row>
    <row r="12" spans="1:9" x14ac:dyDescent="0.25">
      <c r="A12" s="4" t="str">
        <f>"6401"</f>
        <v>6401</v>
      </c>
      <c r="B12" s="4" t="s">
        <v>43</v>
      </c>
      <c r="C12" t="s">
        <v>44</v>
      </c>
      <c r="D12" t="s">
        <v>45</v>
      </c>
      <c r="E12" t="str">
        <f>"161 05"</f>
        <v>161 05</v>
      </c>
      <c r="F12" t="s">
        <v>13</v>
      </c>
      <c r="G12" t="s">
        <v>14</v>
      </c>
      <c r="H12" t="s">
        <v>25</v>
      </c>
    </row>
    <row r="13" spans="1:9" x14ac:dyDescent="0.25">
      <c r="A13" s="4" t="str">
        <f>"3927"</f>
        <v>3927</v>
      </c>
      <c r="B13" s="4" t="s">
        <v>46</v>
      </c>
      <c r="C13" t="s">
        <v>47</v>
      </c>
      <c r="D13" t="s">
        <v>48</v>
      </c>
      <c r="E13" t="str">
        <f>"110 00"</f>
        <v>110 00</v>
      </c>
      <c r="F13" t="s">
        <v>13</v>
      </c>
      <c r="G13" t="s">
        <v>14</v>
      </c>
      <c r="H13" t="s">
        <v>49</v>
      </c>
    </row>
    <row r="14" spans="1:9" x14ac:dyDescent="0.25">
      <c r="A14" s="4" t="str">
        <f>"6302"</f>
        <v>6302</v>
      </c>
      <c r="B14" s="4" t="s">
        <v>50</v>
      </c>
      <c r="C14" t="s">
        <v>51</v>
      </c>
      <c r="D14" t="s">
        <v>52</v>
      </c>
      <c r="E14" t="str">
        <f>"160 00"</f>
        <v>160 00</v>
      </c>
      <c r="F14" t="s">
        <v>13</v>
      </c>
      <c r="G14" t="s">
        <v>14</v>
      </c>
      <c r="H14" t="s">
        <v>49</v>
      </c>
    </row>
    <row r="15" spans="1:9" x14ac:dyDescent="0.25">
      <c r="A15" s="4" t="str">
        <f>""</f>
        <v/>
      </c>
      <c r="B15" s="4" t="s">
        <v>53</v>
      </c>
      <c r="C15" t="s">
        <v>54</v>
      </c>
      <c r="D15" t="s">
        <v>55</v>
      </c>
      <c r="E15" t="str">
        <f>"116 38"</f>
        <v>116 38</v>
      </c>
      <c r="F15" t="s">
        <v>13</v>
      </c>
      <c r="G15" t="s">
        <v>14</v>
      </c>
      <c r="H15" t="s">
        <v>21</v>
      </c>
    </row>
    <row r="16" spans="1:9" x14ac:dyDescent="0.25">
      <c r="A16" s="4" t="str">
        <f>"3498"</f>
        <v>3498</v>
      </c>
      <c r="B16" s="4" t="s">
        <v>56</v>
      </c>
      <c r="C16" t="s">
        <v>57</v>
      </c>
      <c r="D16" t="s">
        <v>58</v>
      </c>
      <c r="E16" t="str">
        <f>"116 40"</f>
        <v>116 40</v>
      </c>
      <c r="F16" t="s">
        <v>13</v>
      </c>
      <c r="G16" t="s">
        <v>14</v>
      </c>
      <c r="H16" t="s">
        <v>21</v>
      </c>
    </row>
    <row r="17" spans="1:9" x14ac:dyDescent="0.25">
      <c r="A17" s="4" t="str">
        <f>"3498"</f>
        <v>3498</v>
      </c>
      <c r="B17" s="4" t="s">
        <v>59</v>
      </c>
      <c r="C17" t="s">
        <v>60</v>
      </c>
      <c r="D17" t="s">
        <v>61</v>
      </c>
      <c r="E17" t="str">
        <f>"116 39"</f>
        <v>116 39</v>
      </c>
      <c r="F17" t="s">
        <v>13</v>
      </c>
      <c r="G17" t="s">
        <v>14</v>
      </c>
      <c r="H17" t="s">
        <v>21</v>
      </c>
    </row>
    <row r="18" spans="1:9" x14ac:dyDescent="0.25">
      <c r="A18" s="4" t="str">
        <f>""</f>
        <v/>
      </c>
      <c r="B18" s="4" t="s">
        <v>62</v>
      </c>
      <c r="C18" t="s">
        <v>63</v>
      </c>
      <c r="D18" t="s">
        <v>64</v>
      </c>
      <c r="E18" t="str">
        <f>"100 00"</f>
        <v>100 00</v>
      </c>
      <c r="F18" t="s">
        <v>13</v>
      </c>
      <c r="G18" t="s">
        <v>14</v>
      </c>
      <c r="H18" t="s">
        <v>21</v>
      </c>
    </row>
    <row r="19" spans="1:9" x14ac:dyDescent="0.25">
      <c r="A19" s="4" t="str">
        <f>"3118"</f>
        <v>3118</v>
      </c>
      <c r="B19" s="4" t="s">
        <v>65</v>
      </c>
      <c r="C19" t="s">
        <v>66</v>
      </c>
      <c r="D19" t="s">
        <v>67</v>
      </c>
      <c r="E19" t="str">
        <f>"118 00"</f>
        <v>118 00</v>
      </c>
      <c r="F19" t="s">
        <v>13</v>
      </c>
      <c r="G19" t="s">
        <v>14</v>
      </c>
      <c r="H19" t="s">
        <v>21</v>
      </c>
    </row>
    <row r="20" spans="1:9" x14ac:dyDescent="0.25">
      <c r="A20" s="4" t="str">
        <f>"3662"</f>
        <v>3662</v>
      </c>
      <c r="B20" s="4" t="s">
        <v>68</v>
      </c>
      <c r="C20" t="s">
        <v>69</v>
      </c>
      <c r="D20" t="s">
        <v>70</v>
      </c>
      <c r="E20" t="str">
        <f>"165 21"</f>
        <v>165 21</v>
      </c>
      <c r="F20" t="s">
        <v>13</v>
      </c>
      <c r="G20" t="s">
        <v>14</v>
      </c>
      <c r="H20" t="s">
        <v>21</v>
      </c>
    </row>
    <row r="21" spans="1:9" x14ac:dyDescent="0.25">
      <c r="A21" s="4" t="str">
        <f>"3498"</f>
        <v>3498</v>
      </c>
      <c r="B21" s="4" t="s">
        <v>71</v>
      </c>
      <c r="C21" t="s">
        <v>72</v>
      </c>
      <c r="D21" t="s">
        <v>73</v>
      </c>
      <c r="E21" t="str">
        <f>"110 01"</f>
        <v>110 01</v>
      </c>
      <c r="F21" t="s">
        <v>13</v>
      </c>
      <c r="G21" t="s">
        <v>14</v>
      </c>
      <c r="H21" t="s">
        <v>21</v>
      </c>
    </row>
    <row r="22" spans="1:9" x14ac:dyDescent="0.25">
      <c r="A22" s="4" t="str">
        <f>"5742"</f>
        <v>5742</v>
      </c>
      <c r="B22" s="4" t="s">
        <v>74</v>
      </c>
      <c r="C22" t="s">
        <v>75</v>
      </c>
      <c r="D22" t="s">
        <v>76</v>
      </c>
      <c r="E22" t="str">
        <f>"150 00"</f>
        <v>150 00</v>
      </c>
      <c r="F22" t="s">
        <v>13</v>
      </c>
      <c r="G22" t="s">
        <v>14</v>
      </c>
      <c r="H22" t="s">
        <v>21</v>
      </c>
    </row>
    <row r="23" spans="1:9" x14ac:dyDescent="0.25">
      <c r="A23" s="4" t="str">
        <f>"5347"</f>
        <v>5347</v>
      </c>
      <c r="B23" s="4" t="s">
        <v>77</v>
      </c>
      <c r="C23" t="s">
        <v>78</v>
      </c>
      <c r="D23" t="s">
        <v>79</v>
      </c>
      <c r="E23" t="str">
        <f>"118 01"</f>
        <v>118 01</v>
      </c>
      <c r="F23" t="s">
        <v>13</v>
      </c>
      <c r="G23" t="s">
        <v>14</v>
      </c>
      <c r="H23" t="s">
        <v>35</v>
      </c>
      <c r="I23" t="s">
        <v>80</v>
      </c>
    </row>
    <row r="24" spans="1:9" x14ac:dyDescent="0.25">
      <c r="A24" s="4" t="str">
        <f>"1444"</f>
        <v>1444</v>
      </c>
      <c r="B24" s="4" t="s">
        <v>81</v>
      </c>
      <c r="C24" t="s">
        <v>82</v>
      </c>
      <c r="D24" t="s">
        <v>83</v>
      </c>
      <c r="E24" t="str">
        <f>"110 00"</f>
        <v>110 00</v>
      </c>
      <c r="F24" t="s">
        <v>13</v>
      </c>
      <c r="G24" t="s">
        <v>14</v>
      </c>
      <c r="H24" t="s">
        <v>25</v>
      </c>
      <c r="I24" t="s">
        <v>84</v>
      </c>
    </row>
    <row r="25" spans="1:9" x14ac:dyDescent="0.25">
      <c r="A25" s="4" t="str">
        <f>"4451"</f>
        <v>4451</v>
      </c>
      <c r="B25" s="4" t="s">
        <v>85</v>
      </c>
      <c r="C25" t="s">
        <v>86</v>
      </c>
      <c r="D25" t="s">
        <v>87</v>
      </c>
      <c r="E25" t="str">
        <f>"161 05"</f>
        <v>161 05</v>
      </c>
      <c r="F25" t="s">
        <v>13</v>
      </c>
      <c r="G25" t="s">
        <v>14</v>
      </c>
      <c r="H25" t="s">
        <v>88</v>
      </c>
    </row>
    <row r="26" spans="1:9" x14ac:dyDescent="0.25">
      <c r="A26" s="4" t="str">
        <f>"4742"</f>
        <v>4742</v>
      </c>
      <c r="B26" s="4" t="s">
        <v>89</v>
      </c>
      <c r="C26" t="s">
        <v>90</v>
      </c>
      <c r="D26" t="s">
        <v>91</v>
      </c>
      <c r="E26" t="str">
        <f>"181 02"</f>
        <v>181 02</v>
      </c>
      <c r="F26" t="s">
        <v>13</v>
      </c>
      <c r="G26" t="s">
        <v>14</v>
      </c>
      <c r="H26" t="s">
        <v>92</v>
      </c>
    </row>
    <row r="27" spans="1:9" x14ac:dyDescent="0.25">
      <c r="A27" s="4" t="str">
        <f>"6083"</f>
        <v>6083</v>
      </c>
      <c r="B27" s="4" t="s">
        <v>93</v>
      </c>
      <c r="C27" t="s">
        <v>94</v>
      </c>
      <c r="D27" t="s">
        <v>95</v>
      </c>
      <c r="E27" t="str">
        <f>"130 00"</f>
        <v>130 00</v>
      </c>
      <c r="F27" t="s">
        <v>13</v>
      </c>
      <c r="G27" t="s">
        <v>14</v>
      </c>
      <c r="H27" t="s">
        <v>92</v>
      </c>
    </row>
    <row r="28" spans="1:9" x14ac:dyDescent="0.25">
      <c r="A28" s="4" t="str">
        <f>"3116"</f>
        <v>3116</v>
      </c>
      <c r="B28" s="4" t="s">
        <v>96</v>
      </c>
      <c r="C28" t="s">
        <v>97</v>
      </c>
      <c r="D28" t="s">
        <v>98</v>
      </c>
      <c r="E28" t="str">
        <f>"110 00"</f>
        <v>110 00</v>
      </c>
      <c r="F28" t="s">
        <v>13</v>
      </c>
      <c r="G28" t="s">
        <v>14</v>
      </c>
      <c r="H28" t="s">
        <v>39</v>
      </c>
    </row>
    <row r="29" spans="1:9" x14ac:dyDescent="0.25">
      <c r="A29" s="4" t="str">
        <f>"3508"</f>
        <v>3508</v>
      </c>
      <c r="B29" s="4" t="s">
        <v>99</v>
      </c>
      <c r="C29" t="s">
        <v>100</v>
      </c>
      <c r="D29" t="s">
        <v>101</v>
      </c>
      <c r="E29" t="str">
        <f>"110 01"</f>
        <v>110 01</v>
      </c>
      <c r="F29" t="s">
        <v>13</v>
      </c>
      <c r="G29" t="s">
        <v>14</v>
      </c>
      <c r="H29" t="s">
        <v>39</v>
      </c>
    </row>
    <row r="30" spans="1:9" x14ac:dyDescent="0.25">
      <c r="A30" s="4" t="str">
        <f>"3490"</f>
        <v>3490</v>
      </c>
      <c r="B30" s="4" t="s">
        <v>102</v>
      </c>
      <c r="C30" t="s">
        <v>103</v>
      </c>
      <c r="D30" t="s">
        <v>104</v>
      </c>
      <c r="E30" t="str">
        <f>"170 78"</f>
        <v>170 78</v>
      </c>
      <c r="F30" t="s">
        <v>13</v>
      </c>
      <c r="G30" t="s">
        <v>14</v>
      </c>
      <c r="H30" t="s">
        <v>39</v>
      </c>
    </row>
    <row r="31" spans="1:9" x14ac:dyDescent="0.25">
      <c r="A31" s="4" t="str">
        <f>"3338"</f>
        <v>3338</v>
      </c>
      <c r="B31" s="4" t="s">
        <v>105</v>
      </c>
      <c r="C31" t="s">
        <v>106</v>
      </c>
      <c r="D31" t="s">
        <v>107</v>
      </c>
      <c r="E31" t="str">
        <f>"110 01"</f>
        <v>110 01</v>
      </c>
      <c r="F31" t="s">
        <v>13</v>
      </c>
      <c r="G31" t="s">
        <v>14</v>
      </c>
      <c r="H31" t="s">
        <v>39</v>
      </c>
    </row>
    <row r="32" spans="1:9" x14ac:dyDescent="0.25">
      <c r="A32" s="4" t="str">
        <f>"2529"</f>
        <v>2529</v>
      </c>
      <c r="B32" s="4" t="s">
        <v>108</v>
      </c>
      <c r="C32" t="s">
        <v>109</v>
      </c>
      <c r="D32" t="s">
        <v>110</v>
      </c>
      <c r="E32" t="str">
        <f>"160 00"</f>
        <v>160 00</v>
      </c>
      <c r="F32" t="s">
        <v>13</v>
      </c>
      <c r="G32" t="s">
        <v>14</v>
      </c>
      <c r="H32" t="s">
        <v>111</v>
      </c>
    </row>
    <row r="33" spans="1:9" x14ac:dyDescent="0.25">
      <c r="A33" s="4" t="str">
        <f>"25"</f>
        <v>25</v>
      </c>
      <c r="B33" s="4" t="s">
        <v>112</v>
      </c>
      <c r="C33" t="s">
        <v>113</v>
      </c>
      <c r="D33" t="s">
        <v>114</v>
      </c>
      <c r="E33" t="str">
        <f>"115 72"</f>
        <v>115 72</v>
      </c>
      <c r="F33" t="s">
        <v>13</v>
      </c>
      <c r="G33" t="s">
        <v>14</v>
      </c>
      <c r="H33" t="s">
        <v>115</v>
      </c>
    </row>
    <row r="34" spans="1:9" x14ac:dyDescent="0.25">
      <c r="A34" s="4" t="str">
        <f>"2026"</f>
        <v>2026</v>
      </c>
      <c r="B34" s="4" t="s">
        <v>116</v>
      </c>
      <c r="C34" t="s">
        <v>117</v>
      </c>
      <c r="D34" t="s">
        <v>118</v>
      </c>
      <c r="E34" t="str">
        <f>"153 00"</f>
        <v>153 00</v>
      </c>
      <c r="F34" t="s">
        <v>119</v>
      </c>
      <c r="G34" t="s">
        <v>14</v>
      </c>
      <c r="H34" t="s">
        <v>120</v>
      </c>
    </row>
    <row r="35" spans="1:9" x14ac:dyDescent="0.25">
      <c r="A35" s="4" t="str">
        <f>"1373"</f>
        <v>1373</v>
      </c>
      <c r="B35" s="4" t="s">
        <v>126</v>
      </c>
      <c r="C35" t="s">
        <v>127</v>
      </c>
      <c r="D35" t="s">
        <v>128</v>
      </c>
      <c r="E35" t="str">
        <f>"156 80"</f>
        <v>156 80</v>
      </c>
      <c r="F35" t="s">
        <v>129</v>
      </c>
      <c r="G35" t="s">
        <v>14</v>
      </c>
      <c r="H35" t="s">
        <v>120</v>
      </c>
    </row>
    <row r="36" spans="1:9" x14ac:dyDescent="0.25">
      <c r="A36" s="4" t="str">
        <f>"2478"</f>
        <v>2478</v>
      </c>
      <c r="B36" s="4" t="s">
        <v>130</v>
      </c>
      <c r="C36" t="s">
        <v>131</v>
      </c>
      <c r="D36" t="s">
        <v>132</v>
      </c>
      <c r="E36" t="str">
        <f>"163 00"</f>
        <v>163 00</v>
      </c>
      <c r="F36" t="s">
        <v>133</v>
      </c>
      <c r="G36" t="s">
        <v>14</v>
      </c>
      <c r="H36" t="s">
        <v>120</v>
      </c>
      <c r="I36" t="s">
        <v>134</v>
      </c>
    </row>
    <row r="37" spans="1:9" x14ac:dyDescent="0.25">
      <c r="A37" s="4" t="str">
        <f>"2405/2002"</f>
        <v>2405/2002</v>
      </c>
      <c r="B37" s="4" t="s">
        <v>135</v>
      </c>
      <c r="C37" t="s">
        <v>136</v>
      </c>
      <c r="D37" t="s">
        <v>137</v>
      </c>
      <c r="E37" t="str">
        <f>"165 00"</f>
        <v>165 00</v>
      </c>
      <c r="F37" t="s">
        <v>138</v>
      </c>
      <c r="G37" t="s">
        <v>14</v>
      </c>
      <c r="H37" t="s">
        <v>120</v>
      </c>
      <c r="I37" t="s">
        <v>139</v>
      </c>
    </row>
    <row r="38" spans="1:9" x14ac:dyDescent="0.25">
      <c r="A38" s="4" t="str">
        <f>"3663/2003"</f>
        <v>3663/2003</v>
      </c>
      <c r="B38" s="4" t="s">
        <v>140</v>
      </c>
      <c r="C38" t="s">
        <v>141</v>
      </c>
      <c r="D38" t="s">
        <v>142</v>
      </c>
      <c r="E38" t="str">
        <f>"184 00"</f>
        <v>184 00</v>
      </c>
      <c r="F38" t="s">
        <v>143</v>
      </c>
      <c r="G38" t="s">
        <v>14</v>
      </c>
      <c r="H38" t="s">
        <v>120</v>
      </c>
      <c r="I38" t="s">
        <v>139</v>
      </c>
    </row>
    <row r="39" spans="1:9" x14ac:dyDescent="0.25">
      <c r="A39" s="4" t="str">
        <f>"3980"</f>
        <v>3980</v>
      </c>
      <c r="B39" s="4" t="s">
        <v>144</v>
      </c>
      <c r="C39" t="s">
        <v>136</v>
      </c>
      <c r="D39" t="s">
        <v>145</v>
      </c>
      <c r="E39" t="str">
        <f>"193 00"</f>
        <v>193 00</v>
      </c>
      <c r="F39" t="s">
        <v>146</v>
      </c>
      <c r="G39" t="s">
        <v>14</v>
      </c>
      <c r="H39" t="s">
        <v>120</v>
      </c>
    </row>
    <row r="40" spans="1:9" x14ac:dyDescent="0.25">
      <c r="A40" s="4" t="str">
        <f>"4372"</f>
        <v>4372</v>
      </c>
      <c r="B40" s="4" t="s">
        <v>147</v>
      </c>
      <c r="C40" t="s">
        <v>148</v>
      </c>
      <c r="D40" t="s">
        <v>149</v>
      </c>
      <c r="E40" t="str">
        <f>"197 00"</f>
        <v>197 00</v>
      </c>
      <c r="F40" t="s">
        <v>150</v>
      </c>
      <c r="G40" t="s">
        <v>14</v>
      </c>
      <c r="H40" t="s">
        <v>120</v>
      </c>
      <c r="I40" t="s">
        <v>134</v>
      </c>
    </row>
    <row r="41" spans="1:9" x14ac:dyDescent="0.25">
      <c r="A41" s="4" t="str">
        <f>"3964"</f>
        <v>3964</v>
      </c>
      <c r="B41" s="4" t="s">
        <v>151</v>
      </c>
      <c r="C41" t="s">
        <v>152</v>
      </c>
      <c r="D41" t="s">
        <v>153</v>
      </c>
      <c r="E41" t="str">
        <f>"103 00"</f>
        <v>103 00</v>
      </c>
      <c r="F41" t="s">
        <v>154</v>
      </c>
      <c r="G41" t="s">
        <v>14</v>
      </c>
      <c r="H41" t="s">
        <v>120</v>
      </c>
      <c r="I41" t="s">
        <v>134</v>
      </c>
    </row>
    <row r="42" spans="1:9" x14ac:dyDescent="0.25">
      <c r="A42" s="4" t="str">
        <f>"1130"</f>
        <v>1130</v>
      </c>
      <c r="B42" s="4" t="s">
        <v>166</v>
      </c>
      <c r="C42" t="s">
        <v>167</v>
      </c>
      <c r="D42" t="s">
        <v>168</v>
      </c>
      <c r="E42" t="str">
        <f>"109 00"</f>
        <v>109 00</v>
      </c>
      <c r="F42" t="s">
        <v>169</v>
      </c>
      <c r="G42" t="s">
        <v>14</v>
      </c>
      <c r="H42" t="s">
        <v>120</v>
      </c>
    </row>
    <row r="43" spans="1:9" x14ac:dyDescent="0.25">
      <c r="A43" s="4" t="str">
        <f>"4155"</f>
        <v>4155</v>
      </c>
      <c r="B43" s="4" t="s">
        <v>173</v>
      </c>
      <c r="C43" t="s">
        <v>174</v>
      </c>
      <c r="D43" t="s">
        <v>175</v>
      </c>
      <c r="E43" t="str">
        <f>"154 00"</f>
        <v>154 00</v>
      </c>
      <c r="F43" t="s">
        <v>176</v>
      </c>
      <c r="G43" t="s">
        <v>14</v>
      </c>
      <c r="H43" t="s">
        <v>120</v>
      </c>
      <c r="I43" t="s">
        <v>134</v>
      </c>
    </row>
    <row r="44" spans="1:9" x14ac:dyDescent="0.25">
      <c r="A44" s="4" t="str">
        <f>"4388"</f>
        <v>4388</v>
      </c>
      <c r="B44" s="4" t="s">
        <v>180</v>
      </c>
      <c r="C44" t="s">
        <v>127</v>
      </c>
      <c r="D44" t="s">
        <v>181</v>
      </c>
      <c r="E44" t="str">
        <f>"182 00"</f>
        <v>182 00</v>
      </c>
      <c r="F44" t="s">
        <v>182</v>
      </c>
      <c r="G44" t="s">
        <v>14</v>
      </c>
      <c r="H44" t="s">
        <v>120</v>
      </c>
      <c r="I44" t="s">
        <v>134</v>
      </c>
    </row>
    <row r="45" spans="1:9" x14ac:dyDescent="0.25">
      <c r="A45" s="4" t="str">
        <f>"14"</f>
        <v>14</v>
      </c>
      <c r="B45" s="4" t="s">
        <v>183</v>
      </c>
      <c r="C45" t="s">
        <v>127</v>
      </c>
      <c r="D45" t="s">
        <v>184</v>
      </c>
      <c r="E45" t="str">
        <f>"190 11"</f>
        <v>190 11</v>
      </c>
      <c r="F45" t="s">
        <v>185</v>
      </c>
      <c r="G45" t="s">
        <v>14</v>
      </c>
      <c r="H45" t="s">
        <v>120</v>
      </c>
      <c r="I45" t="s">
        <v>134</v>
      </c>
    </row>
    <row r="46" spans="1:9" x14ac:dyDescent="0.25">
      <c r="A46" s="4" t="str">
        <f>"2880"</f>
        <v>2880</v>
      </c>
      <c r="B46" s="4" t="s">
        <v>186</v>
      </c>
      <c r="C46" t="s">
        <v>187</v>
      </c>
      <c r="D46" t="s">
        <v>188</v>
      </c>
      <c r="E46" t="str">
        <f>"190 15"</f>
        <v>190 15</v>
      </c>
      <c r="F46" t="s">
        <v>189</v>
      </c>
      <c r="G46" t="s">
        <v>14</v>
      </c>
      <c r="H46" t="s">
        <v>120</v>
      </c>
      <c r="I46" t="s">
        <v>139</v>
      </c>
    </row>
    <row r="47" spans="1:9" x14ac:dyDescent="0.25">
      <c r="A47" s="4" t="str">
        <f>"97"</f>
        <v>97</v>
      </c>
      <c r="B47" s="4" t="s">
        <v>197</v>
      </c>
      <c r="C47" t="s">
        <v>198</v>
      </c>
      <c r="D47" t="s">
        <v>199</v>
      </c>
      <c r="E47" t="str">
        <f>"251 01"</f>
        <v>251 01</v>
      </c>
      <c r="F47" t="s">
        <v>200</v>
      </c>
      <c r="G47" t="s">
        <v>201</v>
      </c>
      <c r="H47" t="s">
        <v>202</v>
      </c>
    </row>
    <row r="48" spans="1:9" x14ac:dyDescent="0.25">
      <c r="A48" s="4" t="str">
        <f>"1564"</f>
        <v>1564</v>
      </c>
      <c r="B48" s="4" t="s">
        <v>203</v>
      </c>
      <c r="C48" t="s">
        <v>204</v>
      </c>
      <c r="D48" t="s">
        <v>205</v>
      </c>
      <c r="E48" t="str">
        <f>"250 01"</f>
        <v>250 01</v>
      </c>
      <c r="F48" t="s">
        <v>206</v>
      </c>
      <c r="G48" t="s">
        <v>201</v>
      </c>
      <c r="H48" t="s">
        <v>202</v>
      </c>
    </row>
    <row r="49" spans="1:9" x14ac:dyDescent="0.25">
      <c r="A49" s="4" t="str">
        <f>"1194"</f>
        <v>1194</v>
      </c>
      <c r="B49" s="4" t="s">
        <v>207</v>
      </c>
      <c r="C49" t="s">
        <v>208</v>
      </c>
      <c r="D49" t="s">
        <v>209</v>
      </c>
      <c r="E49" t="str">
        <f>"250 88"</f>
        <v>250 88</v>
      </c>
      <c r="F49" t="s">
        <v>210</v>
      </c>
      <c r="G49" t="s">
        <v>201</v>
      </c>
      <c r="H49" t="s">
        <v>202</v>
      </c>
      <c r="I49" t="s">
        <v>211</v>
      </c>
    </row>
    <row r="50" spans="1:9" x14ac:dyDescent="0.25">
      <c r="A50" s="4" t="str">
        <f>"1508"</f>
        <v>1508</v>
      </c>
      <c r="B50" s="4" t="s">
        <v>212</v>
      </c>
      <c r="C50" t="s">
        <v>213</v>
      </c>
      <c r="D50" t="s">
        <v>214</v>
      </c>
      <c r="E50" t="str">
        <f>"252 63"</f>
        <v>252 63</v>
      </c>
      <c r="F50" t="s">
        <v>215</v>
      </c>
      <c r="G50" t="s">
        <v>201</v>
      </c>
      <c r="H50" t="s">
        <v>202</v>
      </c>
    </row>
    <row r="51" spans="1:9" x14ac:dyDescent="0.25">
      <c r="A51" s="4" t="str">
        <f>"375"</f>
        <v>375</v>
      </c>
      <c r="B51" s="4" t="s">
        <v>232</v>
      </c>
      <c r="C51" t="s">
        <v>225</v>
      </c>
      <c r="D51" t="s">
        <v>233</v>
      </c>
      <c r="E51" t="str">
        <f>"250 70"</f>
        <v>250 70</v>
      </c>
      <c r="F51" t="s">
        <v>234</v>
      </c>
      <c r="G51" t="s">
        <v>201</v>
      </c>
      <c r="H51" t="s">
        <v>202</v>
      </c>
      <c r="I51" t="s">
        <v>235</v>
      </c>
    </row>
    <row r="52" spans="1:9" x14ac:dyDescent="0.25">
      <c r="A52" s="4" t="str">
        <f>"5680"</f>
        <v>5680</v>
      </c>
      <c r="B52" s="4" t="s">
        <v>501</v>
      </c>
      <c r="C52" t="s">
        <v>502</v>
      </c>
      <c r="D52" t="s">
        <v>503</v>
      </c>
      <c r="E52" t="str">
        <f>"252 09"</f>
        <v>252 09</v>
      </c>
      <c r="F52" t="s">
        <v>504</v>
      </c>
      <c r="G52" t="s">
        <v>201</v>
      </c>
      <c r="H52" t="s">
        <v>120</v>
      </c>
    </row>
    <row r="53" spans="1:9" x14ac:dyDescent="0.25">
      <c r="A53" s="4" t="str">
        <f>"3116"</f>
        <v>3116</v>
      </c>
      <c r="B53" s="4" t="s">
        <v>521</v>
      </c>
      <c r="C53" t="s">
        <v>522</v>
      </c>
      <c r="D53" t="s">
        <v>523</v>
      </c>
      <c r="E53" t="str">
        <f>"120 00"</f>
        <v>120 00</v>
      </c>
      <c r="F53" t="s">
        <v>13</v>
      </c>
      <c r="G53" t="s">
        <v>14</v>
      </c>
      <c r="H53" t="s">
        <v>39</v>
      </c>
    </row>
    <row r="54" spans="1:9" x14ac:dyDescent="0.25">
      <c r="A54" s="4" t="str">
        <f>"3696/2003"</f>
        <v>3696/2003</v>
      </c>
      <c r="B54" s="4" t="s">
        <v>524</v>
      </c>
      <c r="C54" t="s">
        <v>525</v>
      </c>
      <c r="D54" t="s">
        <v>526</v>
      </c>
      <c r="E54" t="str">
        <f>"266 01"</f>
        <v>266 01</v>
      </c>
      <c r="F54" t="s">
        <v>527</v>
      </c>
      <c r="G54" t="s">
        <v>201</v>
      </c>
      <c r="H54" t="s">
        <v>202</v>
      </c>
    </row>
    <row r="55" spans="1:9" x14ac:dyDescent="0.25">
      <c r="A55" s="4" t="str">
        <f>"1601"</f>
        <v>1601</v>
      </c>
      <c r="B55" s="4" t="s">
        <v>528</v>
      </c>
      <c r="C55" t="s">
        <v>529</v>
      </c>
      <c r="D55" t="s">
        <v>530</v>
      </c>
      <c r="E55" t="str">
        <f>"268 01"</f>
        <v>268 01</v>
      </c>
      <c r="F55" t="s">
        <v>531</v>
      </c>
      <c r="G55" t="s">
        <v>201</v>
      </c>
      <c r="H55" t="s">
        <v>202</v>
      </c>
    </row>
    <row r="56" spans="1:9" x14ac:dyDescent="0.25">
      <c r="A56" s="4" t="str">
        <f>"2847"</f>
        <v>2847</v>
      </c>
      <c r="B56" s="4" t="s">
        <v>671</v>
      </c>
      <c r="C56" t="s">
        <v>672</v>
      </c>
      <c r="D56" t="s">
        <v>673</v>
      </c>
      <c r="E56" t="str">
        <f>"678 22"</f>
        <v>678 22</v>
      </c>
      <c r="F56" t="s">
        <v>674</v>
      </c>
      <c r="G56" t="s">
        <v>675</v>
      </c>
      <c r="H56" t="s">
        <v>202</v>
      </c>
    </row>
    <row r="57" spans="1:9" x14ac:dyDescent="0.25">
      <c r="A57" s="4" t="str">
        <f>"4086"</f>
        <v>4086</v>
      </c>
      <c r="B57" s="4" t="s">
        <v>676</v>
      </c>
      <c r="C57" t="s">
        <v>677</v>
      </c>
      <c r="D57" t="s">
        <v>678</v>
      </c>
      <c r="E57" t="str">
        <f>"680 01"</f>
        <v>680 01</v>
      </c>
      <c r="F57" t="s">
        <v>679</v>
      </c>
      <c r="G57" t="s">
        <v>675</v>
      </c>
      <c r="H57" t="s">
        <v>202</v>
      </c>
    </row>
    <row r="58" spans="1:9" x14ac:dyDescent="0.25">
      <c r="A58" s="4" t="str">
        <f>"3677"</f>
        <v>3677</v>
      </c>
      <c r="B58" s="4" t="s">
        <v>680</v>
      </c>
      <c r="C58" t="s">
        <v>681</v>
      </c>
      <c r="D58" t="s">
        <v>682</v>
      </c>
      <c r="E58" t="str">
        <f>"679 61"</f>
        <v>679 61</v>
      </c>
      <c r="F58" t="s">
        <v>683</v>
      </c>
      <c r="G58" t="s">
        <v>675</v>
      </c>
      <c r="H58" t="s">
        <v>202</v>
      </c>
    </row>
    <row r="59" spans="1:9" x14ac:dyDescent="0.25">
      <c r="A59" s="4" t="str">
        <f>"1200"</f>
        <v>1200</v>
      </c>
      <c r="B59" s="4" t="s">
        <v>684</v>
      </c>
      <c r="C59" t="s">
        <v>225</v>
      </c>
      <c r="D59" t="s">
        <v>685</v>
      </c>
      <c r="E59" t="str">
        <f>"679 02"</f>
        <v>679 02</v>
      </c>
      <c r="F59" t="s">
        <v>686</v>
      </c>
      <c r="G59" t="s">
        <v>675</v>
      </c>
      <c r="H59" t="s">
        <v>202</v>
      </c>
    </row>
    <row r="60" spans="1:9" x14ac:dyDescent="0.25">
      <c r="A60" s="4" t="str">
        <f>"280"</f>
        <v>280</v>
      </c>
      <c r="B60" s="4" t="s">
        <v>687</v>
      </c>
      <c r="C60" t="s">
        <v>225</v>
      </c>
      <c r="D60" t="s">
        <v>688</v>
      </c>
      <c r="E60" t="str">
        <f>"679 72"</f>
        <v>679 72</v>
      </c>
      <c r="F60" t="s">
        <v>689</v>
      </c>
      <c r="G60" t="s">
        <v>675</v>
      </c>
      <c r="H60" t="s">
        <v>120</v>
      </c>
    </row>
    <row r="61" spans="1:9" x14ac:dyDescent="0.25">
      <c r="A61" s="4" t="str">
        <f>"4406"</f>
        <v>4406</v>
      </c>
      <c r="B61" s="4" t="s">
        <v>690</v>
      </c>
      <c r="C61" t="s">
        <v>691</v>
      </c>
      <c r="D61" t="s">
        <v>692</v>
      </c>
      <c r="E61" t="str">
        <f>"679 06"</f>
        <v>679 06</v>
      </c>
      <c r="F61" t="s">
        <v>693</v>
      </c>
      <c r="G61" t="s">
        <v>675</v>
      </c>
      <c r="H61" t="s">
        <v>120</v>
      </c>
    </row>
    <row r="62" spans="1:9" x14ac:dyDescent="0.25">
      <c r="A62" s="4" t="str">
        <f>"1169"</f>
        <v>1169</v>
      </c>
      <c r="B62" s="4" t="s">
        <v>694</v>
      </c>
      <c r="C62" t="s">
        <v>695</v>
      </c>
      <c r="D62" t="s">
        <v>696</v>
      </c>
      <c r="E62" t="str">
        <f>"679 39"</f>
        <v>679 39</v>
      </c>
      <c r="F62" t="s">
        <v>697</v>
      </c>
      <c r="G62" t="s">
        <v>675</v>
      </c>
      <c r="H62" t="s">
        <v>120</v>
      </c>
    </row>
    <row r="63" spans="1:9" x14ac:dyDescent="0.25">
      <c r="A63" s="4" t="str">
        <f>"2883"</f>
        <v>2883</v>
      </c>
      <c r="B63" s="4" t="s">
        <v>698</v>
      </c>
      <c r="C63" t="s">
        <v>699</v>
      </c>
      <c r="D63" t="s">
        <v>700</v>
      </c>
      <c r="E63" t="str">
        <f>"679 76"</f>
        <v>679 76</v>
      </c>
      <c r="F63" t="s">
        <v>701</v>
      </c>
      <c r="G63" t="s">
        <v>675</v>
      </c>
      <c r="H63" t="s">
        <v>120</v>
      </c>
    </row>
    <row r="64" spans="1:9" x14ac:dyDescent="0.25">
      <c r="A64" s="4" t="str">
        <f>"6336"</f>
        <v>6336</v>
      </c>
      <c r="B64" s="4" t="s">
        <v>702</v>
      </c>
      <c r="C64" t="s">
        <v>703</v>
      </c>
      <c r="D64" t="s">
        <v>704</v>
      </c>
      <c r="E64" t="str">
        <f>"680 01"</f>
        <v>680 01</v>
      </c>
      <c r="F64" t="s">
        <v>679</v>
      </c>
      <c r="G64" t="s">
        <v>675</v>
      </c>
      <c r="H64" t="s">
        <v>705</v>
      </c>
    </row>
    <row r="65" spans="1:9" x14ac:dyDescent="0.25">
      <c r="A65" s="4" t="str">
        <f>"2132"</f>
        <v>2132</v>
      </c>
      <c r="B65" s="4" t="s">
        <v>726</v>
      </c>
      <c r="C65" t="s">
        <v>217</v>
      </c>
      <c r="D65" t="s">
        <v>727</v>
      </c>
      <c r="E65" t="str">
        <f>"257 22"</f>
        <v>257 22</v>
      </c>
      <c r="F65" t="s">
        <v>728</v>
      </c>
      <c r="G65" t="s">
        <v>201</v>
      </c>
      <c r="H65" t="s">
        <v>120</v>
      </c>
      <c r="I65" t="s">
        <v>729</v>
      </c>
    </row>
    <row r="66" spans="1:9" x14ac:dyDescent="0.25">
      <c r="A66" s="4" t="str">
        <f>"3242"</f>
        <v>3242</v>
      </c>
      <c r="B66" s="4" t="s">
        <v>754</v>
      </c>
      <c r="C66" t="s">
        <v>225</v>
      </c>
      <c r="D66" t="s">
        <v>755</v>
      </c>
      <c r="E66" t="str">
        <f>"285 06"</f>
        <v>285 06</v>
      </c>
      <c r="F66" t="s">
        <v>756</v>
      </c>
      <c r="G66" t="s">
        <v>201</v>
      </c>
      <c r="H66" t="s">
        <v>120</v>
      </c>
    </row>
    <row r="67" spans="1:9" x14ac:dyDescent="0.25">
      <c r="A67" s="4" t="str">
        <f>"82"</f>
        <v>82</v>
      </c>
      <c r="B67" s="4" t="s">
        <v>902</v>
      </c>
      <c r="C67" t="s">
        <v>903</v>
      </c>
      <c r="D67" t="s">
        <v>904</v>
      </c>
      <c r="E67" t="str">
        <f>"601 87"</f>
        <v>601 87</v>
      </c>
      <c r="F67" t="s">
        <v>905</v>
      </c>
      <c r="G67" t="s">
        <v>675</v>
      </c>
      <c r="H67" t="s">
        <v>115</v>
      </c>
    </row>
    <row r="68" spans="1:9" x14ac:dyDescent="0.25">
      <c r="A68" s="4" t="str">
        <f>"4428"</f>
        <v>4428</v>
      </c>
      <c r="B68" s="4" t="s">
        <v>906</v>
      </c>
      <c r="C68" t="s">
        <v>907</v>
      </c>
      <c r="D68" t="s">
        <v>908</v>
      </c>
      <c r="E68" t="str">
        <f>"602 00"</f>
        <v>602 00</v>
      </c>
      <c r="F68" t="s">
        <v>905</v>
      </c>
      <c r="G68" t="s">
        <v>675</v>
      </c>
      <c r="H68" t="s">
        <v>21</v>
      </c>
    </row>
    <row r="69" spans="1:9" x14ac:dyDescent="0.25">
      <c r="A69" s="4" t="str">
        <f>"4429"</f>
        <v>4429</v>
      </c>
      <c r="B69" s="4" t="s">
        <v>909</v>
      </c>
      <c r="C69" t="s">
        <v>910</v>
      </c>
      <c r="D69" t="s">
        <v>911</v>
      </c>
      <c r="E69" t="str">
        <f>"603 00"</f>
        <v>603 00</v>
      </c>
      <c r="F69" t="s">
        <v>905</v>
      </c>
      <c r="G69" t="s">
        <v>675</v>
      </c>
      <c r="H69" t="s">
        <v>21</v>
      </c>
    </row>
    <row r="70" spans="1:9" x14ac:dyDescent="0.25">
      <c r="A70" s="4" t="str">
        <f>"4259"</f>
        <v>4259</v>
      </c>
      <c r="B70" s="4" t="s">
        <v>912</v>
      </c>
      <c r="C70" t="s">
        <v>913</v>
      </c>
      <c r="D70" t="s">
        <v>914</v>
      </c>
      <c r="E70" t="str">
        <f>"662 15"</f>
        <v>662 15</v>
      </c>
      <c r="F70" t="s">
        <v>905</v>
      </c>
      <c r="G70" t="s">
        <v>675</v>
      </c>
      <c r="H70" t="s">
        <v>21</v>
      </c>
    </row>
    <row r="71" spans="1:9" x14ac:dyDescent="0.25">
      <c r="A71" s="4" t="str">
        <f>"2925"</f>
        <v>2925</v>
      </c>
      <c r="B71" s="4" t="s">
        <v>915</v>
      </c>
      <c r="C71" t="s">
        <v>916</v>
      </c>
      <c r="D71" t="s">
        <v>917</v>
      </c>
      <c r="E71" t="str">
        <f>"612 42"</f>
        <v>612 42</v>
      </c>
      <c r="F71" t="s">
        <v>905</v>
      </c>
      <c r="G71" t="s">
        <v>675</v>
      </c>
      <c r="H71" t="s">
        <v>21</v>
      </c>
    </row>
    <row r="72" spans="1:9" x14ac:dyDescent="0.25">
      <c r="A72" s="4" t="str">
        <f>"4426"</f>
        <v>4426</v>
      </c>
      <c r="B72" s="4" t="s">
        <v>918</v>
      </c>
      <c r="C72" t="s">
        <v>919</v>
      </c>
      <c r="D72" t="s">
        <v>920</v>
      </c>
      <c r="E72" t="str">
        <f>"602 00"</f>
        <v>602 00</v>
      </c>
      <c r="F72" t="s">
        <v>905</v>
      </c>
      <c r="G72" t="s">
        <v>675</v>
      </c>
      <c r="H72" t="s">
        <v>21</v>
      </c>
      <c r="I72" t="s">
        <v>921</v>
      </c>
    </row>
    <row r="73" spans="1:9" x14ac:dyDescent="0.25">
      <c r="A73" s="4" t="str">
        <f>""</f>
        <v/>
      </c>
      <c r="B73" s="4" t="s">
        <v>922</v>
      </c>
      <c r="C73" t="s">
        <v>923</v>
      </c>
      <c r="D73" t="s">
        <v>924</v>
      </c>
      <c r="E73" t="str">
        <f>"602 00"</f>
        <v>602 00</v>
      </c>
      <c r="F73" t="s">
        <v>905</v>
      </c>
      <c r="G73" t="s">
        <v>675</v>
      </c>
      <c r="H73" t="s">
        <v>21</v>
      </c>
    </row>
    <row r="74" spans="1:9" x14ac:dyDescent="0.25">
      <c r="A74" s="4" t="str">
        <f>"4424"</f>
        <v>4424</v>
      </c>
      <c r="B74" s="4" t="s">
        <v>925</v>
      </c>
      <c r="C74" t="s">
        <v>926</v>
      </c>
      <c r="D74" t="s">
        <v>927</v>
      </c>
      <c r="E74" t="str">
        <f>"602 00"</f>
        <v>602 00</v>
      </c>
      <c r="F74" t="s">
        <v>905</v>
      </c>
      <c r="G74" t="s">
        <v>675</v>
      </c>
      <c r="H74" t="s">
        <v>21</v>
      </c>
    </row>
    <row r="75" spans="1:9" x14ac:dyDescent="0.25">
      <c r="A75" s="4" t="str">
        <f>"5208"</f>
        <v>5208</v>
      </c>
      <c r="B75" s="4" t="s">
        <v>928</v>
      </c>
      <c r="C75" t="s">
        <v>929</v>
      </c>
      <c r="D75" t="s">
        <v>930</v>
      </c>
      <c r="E75" t="str">
        <f>"625 00"</f>
        <v>625 00</v>
      </c>
      <c r="F75" t="s">
        <v>905</v>
      </c>
      <c r="G75" t="s">
        <v>675</v>
      </c>
      <c r="H75" t="s">
        <v>21</v>
      </c>
    </row>
    <row r="76" spans="1:9" x14ac:dyDescent="0.25">
      <c r="A76" s="4" t="str">
        <f>"6200"</f>
        <v>6200</v>
      </c>
      <c r="B76" s="4" t="s">
        <v>931</v>
      </c>
      <c r="C76" t="s">
        <v>932</v>
      </c>
      <c r="D76" t="s">
        <v>933</v>
      </c>
      <c r="E76" t="str">
        <f>"602 00"</f>
        <v>602 00</v>
      </c>
      <c r="F76" t="s">
        <v>905</v>
      </c>
      <c r="G76" t="s">
        <v>675</v>
      </c>
      <c r="H76" t="s">
        <v>25</v>
      </c>
    </row>
    <row r="77" spans="1:9" x14ac:dyDescent="0.25">
      <c r="A77" s="4" t="str">
        <f>"877"</f>
        <v>877</v>
      </c>
      <c r="B77" s="4" t="s">
        <v>934</v>
      </c>
      <c r="C77" t="s">
        <v>935</v>
      </c>
      <c r="D77" t="s">
        <v>936</v>
      </c>
      <c r="E77" t="str">
        <f>"601 50"</f>
        <v>601 50</v>
      </c>
      <c r="F77" t="s">
        <v>905</v>
      </c>
      <c r="G77" t="s">
        <v>675</v>
      </c>
      <c r="H77" t="s">
        <v>202</v>
      </c>
    </row>
    <row r="78" spans="1:9" x14ac:dyDescent="0.25">
      <c r="A78" s="4" t="str">
        <f>"2525/2002"</f>
        <v>2525/2002</v>
      </c>
      <c r="B78" s="4" t="s">
        <v>937</v>
      </c>
      <c r="C78" t="s">
        <v>938</v>
      </c>
      <c r="D78" t="s">
        <v>939</v>
      </c>
      <c r="E78" t="str">
        <f>"666 01"</f>
        <v>666 01</v>
      </c>
      <c r="F78" t="s">
        <v>940</v>
      </c>
      <c r="G78" t="s">
        <v>675</v>
      </c>
      <c r="H78" t="s">
        <v>202</v>
      </c>
    </row>
    <row r="79" spans="1:9" x14ac:dyDescent="0.25">
      <c r="A79" s="4" t="str">
        <f>"2510"</f>
        <v>2510</v>
      </c>
      <c r="B79" s="4" t="s">
        <v>945</v>
      </c>
      <c r="C79" t="s">
        <v>225</v>
      </c>
      <c r="D79" t="s">
        <v>946</v>
      </c>
      <c r="E79" t="str">
        <f>"664 64"</f>
        <v>664 64</v>
      </c>
      <c r="F79" t="s">
        <v>947</v>
      </c>
      <c r="G79" t="s">
        <v>675</v>
      </c>
      <c r="H79" t="s">
        <v>120</v>
      </c>
      <c r="I79" t="s">
        <v>948</v>
      </c>
    </row>
    <row r="80" spans="1:9" x14ac:dyDescent="0.25">
      <c r="A80" s="4" t="str">
        <f>"2517"</f>
        <v>2517</v>
      </c>
      <c r="B80" s="4" t="s">
        <v>949</v>
      </c>
      <c r="C80" t="s">
        <v>950</v>
      </c>
      <c r="D80" t="s">
        <v>951</v>
      </c>
      <c r="E80" t="str">
        <f>"664 34"</f>
        <v>664 34</v>
      </c>
      <c r="F80" t="s">
        <v>952</v>
      </c>
      <c r="G80" t="s">
        <v>675</v>
      </c>
      <c r="H80" t="s">
        <v>202</v>
      </c>
    </row>
    <row r="81" spans="1:8" x14ac:dyDescent="0.25">
      <c r="A81" s="4" t="str">
        <f>"4158"</f>
        <v>4158</v>
      </c>
      <c r="B81" s="4" t="s">
        <v>953</v>
      </c>
      <c r="C81" t="s">
        <v>225</v>
      </c>
      <c r="D81" t="s">
        <v>954</v>
      </c>
      <c r="E81" t="str">
        <f>"667 01"</f>
        <v>667 01</v>
      </c>
      <c r="F81" t="s">
        <v>955</v>
      </c>
      <c r="G81" t="s">
        <v>675</v>
      </c>
      <c r="H81" t="s">
        <v>120</v>
      </c>
    </row>
    <row r="82" spans="1:8" x14ac:dyDescent="0.25">
      <c r="A82" s="4" t="str">
        <f>"2527"</f>
        <v>2527</v>
      </c>
      <c r="B82" s="4" t="s">
        <v>956</v>
      </c>
      <c r="C82" t="s">
        <v>957</v>
      </c>
      <c r="D82" t="s">
        <v>958</v>
      </c>
      <c r="E82" t="str">
        <f>"664 53"</f>
        <v>664 53</v>
      </c>
      <c r="F82" t="s">
        <v>959</v>
      </c>
      <c r="G82" t="s">
        <v>675</v>
      </c>
      <c r="H82" t="s">
        <v>120</v>
      </c>
    </row>
    <row r="83" spans="1:8" x14ac:dyDescent="0.25">
      <c r="A83" s="4" t="str">
        <f>"2523"</f>
        <v>2523</v>
      </c>
      <c r="B83" s="4" t="s">
        <v>960</v>
      </c>
      <c r="C83" t="s">
        <v>961</v>
      </c>
      <c r="D83" t="s">
        <v>962</v>
      </c>
      <c r="E83" t="str">
        <f>"664 51"</f>
        <v>664 51</v>
      </c>
      <c r="F83" t="s">
        <v>963</v>
      </c>
      <c r="G83" t="s">
        <v>675</v>
      </c>
      <c r="H83" t="s">
        <v>202</v>
      </c>
    </row>
    <row r="84" spans="1:8" x14ac:dyDescent="0.25">
      <c r="A84" s="4" t="str">
        <f>"1234"</f>
        <v>1234</v>
      </c>
      <c r="B84" s="4" t="s">
        <v>964</v>
      </c>
      <c r="C84" t="s">
        <v>965</v>
      </c>
      <c r="D84" t="s">
        <v>966</v>
      </c>
      <c r="E84" t="str">
        <f>"655 01"</f>
        <v>655 01</v>
      </c>
      <c r="F84" t="s">
        <v>967</v>
      </c>
      <c r="G84" t="s">
        <v>675</v>
      </c>
      <c r="H84" t="s">
        <v>202</v>
      </c>
    </row>
    <row r="85" spans="1:8" x14ac:dyDescent="0.25">
      <c r="A85" s="4" t="str">
        <f>"2520"</f>
        <v>2520</v>
      </c>
      <c r="B85" s="4" t="s">
        <v>968</v>
      </c>
      <c r="C85" t="s">
        <v>225</v>
      </c>
      <c r="D85" t="s">
        <v>969</v>
      </c>
      <c r="E85" t="str">
        <f>"664 12"</f>
        <v>664 12</v>
      </c>
      <c r="F85" t="s">
        <v>970</v>
      </c>
      <c r="G85" t="s">
        <v>675</v>
      </c>
      <c r="H85" t="s">
        <v>202</v>
      </c>
    </row>
    <row r="86" spans="1:8" x14ac:dyDescent="0.25">
      <c r="A86" s="4" t="str">
        <f>"1015"</f>
        <v>1015</v>
      </c>
      <c r="B86" s="4" t="s">
        <v>971</v>
      </c>
      <c r="C86" t="s">
        <v>972</v>
      </c>
      <c r="D86" t="s">
        <v>973</v>
      </c>
      <c r="E86" t="str">
        <f>"664 84"</f>
        <v>664 84</v>
      </c>
      <c r="F86" t="s">
        <v>974</v>
      </c>
      <c r="G86" t="s">
        <v>675</v>
      </c>
      <c r="H86" t="s">
        <v>120</v>
      </c>
    </row>
    <row r="87" spans="1:8" x14ac:dyDescent="0.25">
      <c r="A87" s="4" t="str">
        <f>"2512"</f>
        <v>2512</v>
      </c>
      <c r="B87" s="4" t="s">
        <v>975</v>
      </c>
      <c r="C87" t="s">
        <v>225</v>
      </c>
      <c r="D87" t="s">
        <v>976</v>
      </c>
      <c r="E87" t="str">
        <f>"664 91"</f>
        <v>664 91</v>
      </c>
      <c r="F87" t="s">
        <v>977</v>
      </c>
      <c r="G87" t="s">
        <v>675</v>
      </c>
      <c r="H87" t="s">
        <v>202</v>
      </c>
    </row>
    <row r="88" spans="1:8" x14ac:dyDescent="0.25">
      <c r="A88" s="4" t="str">
        <f>"2519"</f>
        <v>2519</v>
      </c>
      <c r="B88" s="4" t="s">
        <v>978</v>
      </c>
      <c r="C88" t="s">
        <v>979</v>
      </c>
      <c r="D88" t="s">
        <v>980</v>
      </c>
      <c r="E88" t="str">
        <f>"664 44"</f>
        <v>664 44</v>
      </c>
      <c r="F88" t="s">
        <v>981</v>
      </c>
      <c r="G88" t="s">
        <v>675</v>
      </c>
      <c r="H88" t="s">
        <v>120</v>
      </c>
    </row>
    <row r="89" spans="1:8" x14ac:dyDescent="0.25">
      <c r="A89" s="4" t="str">
        <f>"2522"</f>
        <v>2522</v>
      </c>
      <c r="B89" s="4" t="s">
        <v>982</v>
      </c>
      <c r="C89" t="s">
        <v>225</v>
      </c>
      <c r="D89" t="s">
        <v>983</v>
      </c>
      <c r="E89" t="str">
        <f>"664 61"</f>
        <v>664 61</v>
      </c>
      <c r="F89" t="s">
        <v>984</v>
      </c>
      <c r="G89" t="s">
        <v>675</v>
      </c>
      <c r="H89" t="s">
        <v>120</v>
      </c>
    </row>
    <row r="90" spans="1:8" x14ac:dyDescent="0.25">
      <c r="A90" s="4" t="str">
        <f>"2511"</f>
        <v>2511</v>
      </c>
      <c r="B90" s="4" t="s">
        <v>985</v>
      </c>
      <c r="C90" t="s">
        <v>127</v>
      </c>
      <c r="D90" t="s">
        <v>986</v>
      </c>
      <c r="E90" t="str">
        <f>"664 62"</f>
        <v>664 62</v>
      </c>
      <c r="F90" t="s">
        <v>987</v>
      </c>
      <c r="G90" t="s">
        <v>675</v>
      </c>
      <c r="H90" t="s">
        <v>120</v>
      </c>
    </row>
    <row r="91" spans="1:8" x14ac:dyDescent="0.25">
      <c r="A91" s="4" t="str">
        <f>"3592"</f>
        <v>3592</v>
      </c>
      <c r="B91" s="4" t="s">
        <v>988</v>
      </c>
      <c r="C91" t="s">
        <v>989</v>
      </c>
      <c r="D91" t="s">
        <v>990</v>
      </c>
      <c r="E91" t="str">
        <f>"664 48"</f>
        <v>664 48</v>
      </c>
      <c r="F91" t="s">
        <v>991</v>
      </c>
      <c r="G91" t="s">
        <v>675</v>
      </c>
      <c r="H91" t="s">
        <v>120</v>
      </c>
    </row>
    <row r="92" spans="1:8" x14ac:dyDescent="0.25">
      <c r="A92" s="4" t="str">
        <f>"4182"</f>
        <v>4182</v>
      </c>
      <c r="B92" s="4" t="s">
        <v>992</v>
      </c>
      <c r="C92" t="s">
        <v>993</v>
      </c>
      <c r="D92" t="s">
        <v>994</v>
      </c>
      <c r="E92" t="str">
        <f>"664 54"</f>
        <v>664 54</v>
      </c>
      <c r="F92" t="s">
        <v>995</v>
      </c>
      <c r="G92" t="s">
        <v>675</v>
      </c>
      <c r="H92" t="s">
        <v>120</v>
      </c>
    </row>
    <row r="93" spans="1:8" x14ac:dyDescent="0.25">
      <c r="A93" s="4" t="str">
        <f>"1794"</f>
        <v>1794</v>
      </c>
      <c r="B93" s="4" t="s">
        <v>1000</v>
      </c>
      <c r="C93" t="s">
        <v>1001</v>
      </c>
      <c r="D93" t="s">
        <v>1002</v>
      </c>
      <c r="E93" t="str">
        <f>"794 01"</f>
        <v>794 01</v>
      </c>
      <c r="F93" t="s">
        <v>1003</v>
      </c>
      <c r="G93" t="s">
        <v>1004</v>
      </c>
      <c r="H93" t="s">
        <v>92</v>
      </c>
    </row>
    <row r="94" spans="1:8" x14ac:dyDescent="0.25">
      <c r="A94" s="4" t="str">
        <f>"864"</f>
        <v>864</v>
      </c>
      <c r="B94" s="4" t="s">
        <v>1005</v>
      </c>
      <c r="C94" t="s">
        <v>1006</v>
      </c>
      <c r="D94" t="s">
        <v>1007</v>
      </c>
      <c r="E94" t="str">
        <f>"792 01"</f>
        <v>792 01</v>
      </c>
      <c r="F94" t="s">
        <v>1008</v>
      </c>
      <c r="G94" t="s">
        <v>1004</v>
      </c>
      <c r="H94" t="s">
        <v>202</v>
      </c>
    </row>
    <row r="95" spans="1:8" x14ac:dyDescent="0.25">
      <c r="A95" s="4" t="str">
        <f>"1002"</f>
        <v>1002</v>
      </c>
      <c r="B95" s="4" t="s">
        <v>1009</v>
      </c>
      <c r="C95" t="s">
        <v>1010</v>
      </c>
      <c r="D95" t="s">
        <v>1011</v>
      </c>
      <c r="E95" t="str">
        <f>"795 01"</f>
        <v>795 01</v>
      </c>
      <c r="F95" t="s">
        <v>1012</v>
      </c>
      <c r="G95" t="s">
        <v>1004</v>
      </c>
      <c r="H95" t="s">
        <v>202</v>
      </c>
    </row>
    <row r="96" spans="1:8" x14ac:dyDescent="0.25">
      <c r="A96" s="4" t="str">
        <f>"3348"</f>
        <v>3348</v>
      </c>
      <c r="B96" s="4" t="s">
        <v>1013</v>
      </c>
      <c r="C96" t="s">
        <v>1014</v>
      </c>
      <c r="D96" t="s">
        <v>1015</v>
      </c>
      <c r="E96" t="str">
        <f>"793 26"</f>
        <v>793 26</v>
      </c>
      <c r="F96" t="s">
        <v>1016</v>
      </c>
      <c r="G96" t="s">
        <v>1004</v>
      </c>
      <c r="H96" t="s">
        <v>202</v>
      </c>
    </row>
    <row r="97" spans="1:9" x14ac:dyDescent="0.25">
      <c r="A97" s="4" t="str">
        <f>"201"</f>
        <v>201</v>
      </c>
      <c r="B97" s="4" t="s">
        <v>1017</v>
      </c>
      <c r="C97" t="s">
        <v>225</v>
      </c>
      <c r="D97" t="s">
        <v>1018</v>
      </c>
      <c r="E97" t="str">
        <f>"794 01"</f>
        <v>794 01</v>
      </c>
      <c r="F97" t="s">
        <v>1003</v>
      </c>
      <c r="G97" t="s">
        <v>1004</v>
      </c>
      <c r="H97" t="s">
        <v>202</v>
      </c>
    </row>
    <row r="98" spans="1:9" x14ac:dyDescent="0.25">
      <c r="A98" s="4" t="str">
        <f>"746"</f>
        <v>746</v>
      </c>
      <c r="B98" s="4" t="s">
        <v>1019</v>
      </c>
      <c r="C98" t="s">
        <v>1020</v>
      </c>
      <c r="D98" t="s">
        <v>1021</v>
      </c>
      <c r="E98" t="str">
        <f>"793 05"</f>
        <v>793 05</v>
      </c>
      <c r="F98" t="s">
        <v>1022</v>
      </c>
      <c r="G98" t="s">
        <v>1023</v>
      </c>
      <c r="H98" t="s">
        <v>202</v>
      </c>
    </row>
    <row r="99" spans="1:9" x14ac:dyDescent="0.25">
      <c r="A99" s="4" t="str">
        <f>"2073"</f>
        <v>2073</v>
      </c>
      <c r="B99" s="4" t="s">
        <v>1024</v>
      </c>
      <c r="C99" t="s">
        <v>1025</v>
      </c>
      <c r="D99" t="s">
        <v>1026</v>
      </c>
      <c r="E99" t="str">
        <f>"793 12"</f>
        <v>793 12</v>
      </c>
      <c r="F99" t="s">
        <v>1027</v>
      </c>
      <c r="G99" t="s">
        <v>1004</v>
      </c>
      <c r="H99" t="s">
        <v>120</v>
      </c>
    </row>
    <row r="100" spans="1:9" x14ac:dyDescent="0.25">
      <c r="A100" s="4">
        <v>4797</v>
      </c>
      <c r="C100" t="s">
        <v>5277</v>
      </c>
      <c r="D100" t="s">
        <v>5278</v>
      </c>
      <c r="E100" t="s">
        <v>5279</v>
      </c>
      <c r="F100" t="s">
        <v>5280</v>
      </c>
      <c r="G100" t="s">
        <v>13</v>
      </c>
      <c r="H100" t="s">
        <v>5276</v>
      </c>
    </row>
    <row r="101" spans="1:9" x14ac:dyDescent="0.25">
      <c r="A101" s="4" t="str">
        <f>"2468"</f>
        <v>2468</v>
      </c>
      <c r="B101" s="4" t="s">
        <v>1028</v>
      </c>
      <c r="C101" t="s">
        <v>1029</v>
      </c>
      <c r="D101" t="s">
        <v>1030</v>
      </c>
      <c r="E101" t="str">
        <f>"690 02"</f>
        <v>690 02</v>
      </c>
      <c r="F101" t="s">
        <v>1031</v>
      </c>
      <c r="G101" t="s">
        <v>675</v>
      </c>
      <c r="H101" t="s">
        <v>202</v>
      </c>
    </row>
    <row r="102" spans="1:9" x14ac:dyDescent="0.25">
      <c r="A102" s="4" t="str">
        <f>"2882"</f>
        <v>2882</v>
      </c>
      <c r="B102" s="4" t="s">
        <v>1032</v>
      </c>
      <c r="C102" t="s">
        <v>225</v>
      </c>
      <c r="D102" t="s">
        <v>1033</v>
      </c>
      <c r="E102" t="str">
        <f>"693 01"</f>
        <v>693 01</v>
      </c>
      <c r="F102" t="s">
        <v>1034</v>
      </c>
      <c r="G102" t="s">
        <v>675</v>
      </c>
      <c r="H102" t="s">
        <v>202</v>
      </c>
    </row>
    <row r="103" spans="1:9" x14ac:dyDescent="0.25">
      <c r="A103" s="4" t="str">
        <f>"1498"</f>
        <v>1498</v>
      </c>
      <c r="B103" s="4" t="s">
        <v>1035</v>
      </c>
      <c r="C103" t="s">
        <v>225</v>
      </c>
      <c r="D103" t="s">
        <v>1036</v>
      </c>
      <c r="E103" t="str">
        <f>"691 02"</f>
        <v>691 02</v>
      </c>
      <c r="F103" t="s">
        <v>1037</v>
      </c>
      <c r="G103" t="s">
        <v>675</v>
      </c>
      <c r="H103" t="s">
        <v>120</v>
      </c>
      <c r="I103" t="s">
        <v>1038</v>
      </c>
    </row>
    <row r="104" spans="1:9" x14ac:dyDescent="0.25">
      <c r="A104" s="4" t="str">
        <f>"1232"</f>
        <v>1232</v>
      </c>
      <c r="B104" s="4" t="s">
        <v>1039</v>
      </c>
      <c r="C104" t="s">
        <v>1040</v>
      </c>
      <c r="D104" t="s">
        <v>1041</v>
      </c>
      <c r="E104" t="str">
        <f>"691 51"</f>
        <v>691 51</v>
      </c>
      <c r="F104" t="s">
        <v>1042</v>
      </c>
      <c r="G104" t="s">
        <v>675</v>
      </c>
      <c r="H104" t="s">
        <v>202</v>
      </c>
    </row>
    <row r="105" spans="1:9" x14ac:dyDescent="0.25">
      <c r="A105" s="4" t="str">
        <f>"3355"</f>
        <v>3355</v>
      </c>
      <c r="B105" s="4" t="s">
        <v>1043</v>
      </c>
      <c r="C105" t="s">
        <v>225</v>
      </c>
      <c r="D105" t="s">
        <v>1044</v>
      </c>
      <c r="E105" t="str">
        <f>"692 01"</f>
        <v>692 01</v>
      </c>
      <c r="F105" t="s">
        <v>1045</v>
      </c>
      <c r="G105" t="s">
        <v>675</v>
      </c>
      <c r="H105" t="s">
        <v>202</v>
      </c>
    </row>
    <row r="106" spans="1:9" x14ac:dyDescent="0.25">
      <c r="A106" s="4" t="str">
        <f>"3177"</f>
        <v>3177</v>
      </c>
      <c r="B106" s="4" t="s">
        <v>1046</v>
      </c>
      <c r="C106" t="s">
        <v>1047</v>
      </c>
      <c r="D106" t="s">
        <v>1048</v>
      </c>
      <c r="E106" t="str">
        <f>"691 65"</f>
        <v>691 65</v>
      </c>
      <c r="F106" t="s">
        <v>1049</v>
      </c>
      <c r="G106" t="s">
        <v>675</v>
      </c>
      <c r="H106" t="s">
        <v>120</v>
      </c>
    </row>
    <row r="107" spans="1:9" x14ac:dyDescent="0.25">
      <c r="A107" s="4" t="str">
        <f>"4499"</f>
        <v>4499</v>
      </c>
      <c r="B107" s="4" t="s">
        <v>1050</v>
      </c>
      <c r="C107" t="s">
        <v>1051</v>
      </c>
      <c r="D107" t="s">
        <v>1052</v>
      </c>
      <c r="E107" t="str">
        <f>"691 01"</f>
        <v>691 01</v>
      </c>
      <c r="F107" t="s">
        <v>1053</v>
      </c>
      <c r="G107" t="s">
        <v>675</v>
      </c>
      <c r="H107" t="s">
        <v>120</v>
      </c>
    </row>
    <row r="108" spans="1:9" x14ac:dyDescent="0.25">
      <c r="A108" s="4" t="str">
        <f>"69"</f>
        <v>69</v>
      </c>
      <c r="B108" s="4" t="s">
        <v>1054</v>
      </c>
      <c r="C108" t="s">
        <v>1055</v>
      </c>
      <c r="D108" t="s">
        <v>1056</v>
      </c>
      <c r="E108" t="str">
        <f>"370 59"</f>
        <v>370 59</v>
      </c>
      <c r="F108" t="s">
        <v>1057</v>
      </c>
      <c r="G108" t="s">
        <v>1058</v>
      </c>
      <c r="H108" t="s">
        <v>115</v>
      </c>
    </row>
    <row r="109" spans="1:9" x14ac:dyDescent="0.25">
      <c r="A109" s="4" t="str">
        <f>"3158"</f>
        <v>3158</v>
      </c>
      <c r="B109" s="4" t="s">
        <v>1059</v>
      </c>
      <c r="C109" t="s">
        <v>1060</v>
      </c>
      <c r="D109" t="s">
        <v>1061</v>
      </c>
      <c r="E109" t="str">
        <f>"370 05"</f>
        <v>370 05</v>
      </c>
      <c r="F109" t="s">
        <v>1057</v>
      </c>
      <c r="G109" t="s">
        <v>1058</v>
      </c>
      <c r="H109" t="s">
        <v>49</v>
      </c>
    </row>
    <row r="110" spans="1:9" x14ac:dyDescent="0.25">
      <c r="A110" s="4" t="str">
        <f>"6415"</f>
        <v>6415</v>
      </c>
      <c r="B110" s="4" t="s">
        <v>1062</v>
      </c>
      <c r="C110" t="s">
        <v>1063</v>
      </c>
      <c r="D110" t="s">
        <v>1061</v>
      </c>
      <c r="E110" t="str">
        <f>"370 05"</f>
        <v>370 05</v>
      </c>
      <c r="F110" t="s">
        <v>1057</v>
      </c>
      <c r="G110" t="s">
        <v>1058</v>
      </c>
      <c r="H110" t="s">
        <v>21</v>
      </c>
    </row>
    <row r="111" spans="1:9" x14ac:dyDescent="0.25">
      <c r="A111" s="4" t="str">
        <f>"3892"</f>
        <v>3892</v>
      </c>
      <c r="B111" s="4" t="s">
        <v>1072</v>
      </c>
      <c r="C111" t="s">
        <v>1073</v>
      </c>
      <c r="D111" t="s">
        <v>1074</v>
      </c>
      <c r="E111" t="str">
        <f>"373 12"</f>
        <v>373 12</v>
      </c>
      <c r="F111" t="s">
        <v>1075</v>
      </c>
      <c r="G111" t="s">
        <v>1058</v>
      </c>
      <c r="H111" t="s">
        <v>202</v>
      </c>
    </row>
    <row r="112" spans="1:9" x14ac:dyDescent="0.25">
      <c r="A112" s="4" t="str">
        <f>"1938"</f>
        <v>1938</v>
      </c>
      <c r="B112" s="4" t="s">
        <v>1087</v>
      </c>
      <c r="C112" t="s">
        <v>1088</v>
      </c>
      <c r="D112" t="s">
        <v>1089</v>
      </c>
      <c r="E112" t="str">
        <f>"375 01"</f>
        <v>375 01</v>
      </c>
      <c r="F112" t="s">
        <v>1090</v>
      </c>
      <c r="G112" t="s">
        <v>1058</v>
      </c>
      <c r="H112" t="s">
        <v>202</v>
      </c>
    </row>
    <row r="113" spans="1:9" x14ac:dyDescent="0.25">
      <c r="A113" s="4" t="str">
        <f>"4899"</f>
        <v>4899</v>
      </c>
      <c r="B113" s="4" t="s">
        <v>1100</v>
      </c>
      <c r="C113" t="s">
        <v>225</v>
      </c>
      <c r="D113" t="s">
        <v>1101</v>
      </c>
      <c r="E113" t="str">
        <f>"373 33"</f>
        <v>373 33</v>
      </c>
      <c r="F113" t="s">
        <v>1102</v>
      </c>
      <c r="G113" t="s">
        <v>1058</v>
      </c>
      <c r="H113" t="s">
        <v>202</v>
      </c>
    </row>
    <row r="114" spans="1:9" x14ac:dyDescent="0.25">
      <c r="A114" s="4" t="str">
        <f>"4775"</f>
        <v>4775</v>
      </c>
      <c r="B114" s="4" t="s">
        <v>1103</v>
      </c>
      <c r="C114" t="s">
        <v>217</v>
      </c>
      <c r="D114" t="s">
        <v>1104</v>
      </c>
      <c r="E114" t="str">
        <f>"373 84"</f>
        <v>373 84</v>
      </c>
      <c r="F114" t="s">
        <v>1105</v>
      </c>
      <c r="G114" t="s">
        <v>1058</v>
      </c>
      <c r="H114" t="s">
        <v>120</v>
      </c>
      <c r="I114" t="s">
        <v>1106</v>
      </c>
    </row>
    <row r="115" spans="1:9" x14ac:dyDescent="0.25">
      <c r="A115" s="4" t="str">
        <f>"1799"</f>
        <v>1799</v>
      </c>
      <c r="B115" s="4" t="s">
        <v>1140</v>
      </c>
      <c r="C115" t="s">
        <v>1141</v>
      </c>
      <c r="D115" t="s">
        <v>1142</v>
      </c>
      <c r="E115" t="str">
        <f>"351 01"</f>
        <v>351 01</v>
      </c>
      <c r="F115" t="s">
        <v>1143</v>
      </c>
      <c r="G115" t="s">
        <v>1144</v>
      </c>
      <c r="H115" t="s">
        <v>202</v>
      </c>
    </row>
    <row r="116" spans="1:9" x14ac:dyDescent="0.25">
      <c r="A116" s="4" t="str">
        <f>"214"</f>
        <v>214</v>
      </c>
      <c r="B116" s="4" t="s">
        <v>1145</v>
      </c>
      <c r="C116" t="s">
        <v>1146</v>
      </c>
      <c r="D116" t="s">
        <v>1147</v>
      </c>
      <c r="E116" t="str">
        <f>"350 37"</f>
        <v>350 37</v>
      </c>
      <c r="F116" t="s">
        <v>1148</v>
      </c>
      <c r="G116" t="s">
        <v>1144</v>
      </c>
      <c r="H116" t="s">
        <v>202</v>
      </c>
      <c r="I116" t="s">
        <v>1149</v>
      </c>
    </row>
    <row r="117" spans="1:9" x14ac:dyDescent="0.25">
      <c r="A117" s="4" t="str">
        <f>"2849"</f>
        <v>2849</v>
      </c>
      <c r="B117" s="4" t="s">
        <v>1150</v>
      </c>
      <c r="C117" t="s">
        <v>1151</v>
      </c>
      <c r="D117" t="s">
        <v>1152</v>
      </c>
      <c r="E117" t="str">
        <f>"353 01"</f>
        <v>353 01</v>
      </c>
      <c r="F117" t="s">
        <v>1153</v>
      </c>
      <c r="G117" t="s">
        <v>1144</v>
      </c>
      <c r="H117" t="s">
        <v>202</v>
      </c>
    </row>
    <row r="118" spans="1:9" x14ac:dyDescent="0.25">
      <c r="A118" s="4" t="str">
        <f>"2191"</f>
        <v>2191</v>
      </c>
      <c r="B118" s="4" t="s">
        <v>1154</v>
      </c>
      <c r="C118" t="s">
        <v>1155</v>
      </c>
      <c r="D118" t="s">
        <v>1156</v>
      </c>
      <c r="E118" t="str">
        <f>"352 01"</f>
        <v>352 01</v>
      </c>
      <c r="F118" t="s">
        <v>1157</v>
      </c>
      <c r="G118" t="s">
        <v>1144</v>
      </c>
      <c r="H118" t="s">
        <v>202</v>
      </c>
    </row>
    <row r="119" spans="1:9" x14ac:dyDescent="0.25">
      <c r="A119" s="4" t="str">
        <f>"1292"</f>
        <v>1292</v>
      </c>
      <c r="B119" s="4" t="s">
        <v>1162</v>
      </c>
      <c r="C119" t="s">
        <v>1163</v>
      </c>
      <c r="D119" t="s">
        <v>1164</v>
      </c>
      <c r="E119" t="str">
        <f>"381 11"</f>
        <v>381 11</v>
      </c>
      <c r="F119" t="s">
        <v>1165</v>
      </c>
      <c r="G119" t="s">
        <v>1058</v>
      </c>
      <c r="H119" t="s">
        <v>202</v>
      </c>
      <c r="I119" t="s">
        <v>1166</v>
      </c>
    </row>
    <row r="120" spans="1:9" x14ac:dyDescent="0.25">
      <c r="A120" s="4" t="str">
        <f>"1401"</f>
        <v>1401</v>
      </c>
      <c r="B120" s="4" t="s">
        <v>1174</v>
      </c>
      <c r="C120" t="s">
        <v>1175</v>
      </c>
      <c r="D120" t="s">
        <v>1176</v>
      </c>
      <c r="E120" t="str">
        <f>"382 41"</f>
        <v>382 41</v>
      </c>
      <c r="F120" t="s">
        <v>1177</v>
      </c>
      <c r="G120" t="s">
        <v>1058</v>
      </c>
      <c r="H120" t="s">
        <v>202</v>
      </c>
      <c r="I120" t="s">
        <v>1178</v>
      </c>
    </row>
    <row r="121" spans="1:9" x14ac:dyDescent="0.25">
      <c r="A121" s="4" t="str">
        <f>"6224"</f>
        <v>6224</v>
      </c>
      <c r="B121" s="4" t="s">
        <v>1276</v>
      </c>
      <c r="C121" t="s">
        <v>1277</v>
      </c>
      <c r="D121" t="s">
        <v>1278</v>
      </c>
      <c r="E121" t="str">
        <f>"470 77"</f>
        <v>470 77</v>
      </c>
      <c r="F121" t="s">
        <v>1279</v>
      </c>
      <c r="G121" t="s">
        <v>1280</v>
      </c>
      <c r="H121" t="s">
        <v>92</v>
      </c>
    </row>
    <row r="122" spans="1:9" x14ac:dyDescent="0.25">
      <c r="A122" s="4" t="str">
        <f>"1761"</f>
        <v>1761</v>
      </c>
      <c r="B122" s="4" t="s">
        <v>1281</v>
      </c>
      <c r="C122" t="s">
        <v>1282</v>
      </c>
      <c r="D122" t="s">
        <v>1283</v>
      </c>
      <c r="E122" t="str">
        <f>"470 01"</f>
        <v>470 01</v>
      </c>
      <c r="F122" t="s">
        <v>1279</v>
      </c>
      <c r="G122" t="s">
        <v>1280</v>
      </c>
      <c r="H122" t="s">
        <v>202</v>
      </c>
    </row>
    <row r="123" spans="1:9" x14ac:dyDescent="0.25">
      <c r="A123" s="4" t="str">
        <f>"1509"</f>
        <v>1509</v>
      </c>
      <c r="B123" s="4" t="s">
        <v>1284</v>
      </c>
      <c r="C123" t="s">
        <v>225</v>
      </c>
      <c r="D123" t="s">
        <v>1285</v>
      </c>
      <c r="E123" t="str">
        <f>"471 54"</f>
        <v>471 54</v>
      </c>
      <c r="F123" t="s">
        <v>1286</v>
      </c>
      <c r="G123" t="s">
        <v>1280</v>
      </c>
      <c r="H123" t="s">
        <v>202</v>
      </c>
    </row>
    <row r="124" spans="1:9" x14ac:dyDescent="0.25">
      <c r="A124" s="4" t="str">
        <f>"1441"</f>
        <v>1441</v>
      </c>
      <c r="B124" s="4" t="s">
        <v>1287</v>
      </c>
      <c r="C124" t="s">
        <v>225</v>
      </c>
      <c r="D124" t="s">
        <v>1288</v>
      </c>
      <c r="E124" t="str">
        <f>"472 01"</f>
        <v>472 01</v>
      </c>
      <c r="F124" t="s">
        <v>1289</v>
      </c>
      <c r="G124" t="s">
        <v>1280</v>
      </c>
      <c r="H124" t="s">
        <v>202</v>
      </c>
    </row>
    <row r="125" spans="1:9" x14ac:dyDescent="0.25">
      <c r="A125" s="4" t="str">
        <f>"2766"</f>
        <v>2766</v>
      </c>
      <c r="B125" s="4" t="s">
        <v>1290</v>
      </c>
      <c r="C125" t="s">
        <v>225</v>
      </c>
      <c r="D125" t="s">
        <v>1291</v>
      </c>
      <c r="E125" t="str">
        <f>"471 25"</f>
        <v>471 25</v>
      </c>
      <c r="F125" t="s">
        <v>1292</v>
      </c>
      <c r="G125" t="s">
        <v>1280</v>
      </c>
      <c r="H125" t="s">
        <v>202</v>
      </c>
    </row>
    <row r="126" spans="1:9" x14ac:dyDescent="0.25">
      <c r="A126" s="4" t="str">
        <f>"706"</f>
        <v>706</v>
      </c>
      <c r="B126" s="4" t="s">
        <v>1295</v>
      </c>
      <c r="C126" t="s">
        <v>225</v>
      </c>
      <c r="D126" t="s">
        <v>1296</v>
      </c>
      <c r="E126" t="str">
        <f>"537 49"</f>
        <v>537 49</v>
      </c>
      <c r="F126" t="s">
        <v>1293</v>
      </c>
      <c r="G126" t="s">
        <v>1294</v>
      </c>
      <c r="H126" t="s">
        <v>202</v>
      </c>
    </row>
    <row r="127" spans="1:9" x14ac:dyDescent="0.25">
      <c r="A127" s="4" t="str">
        <f>"5993"</f>
        <v>5993</v>
      </c>
      <c r="B127" s="4" t="s">
        <v>1297</v>
      </c>
      <c r="C127" t="s">
        <v>1298</v>
      </c>
      <c r="D127" t="s">
        <v>1299</v>
      </c>
      <c r="E127" t="str">
        <f>"573 01"</f>
        <v>573 01</v>
      </c>
      <c r="F127" t="s">
        <v>1293</v>
      </c>
      <c r="G127" t="s">
        <v>1294</v>
      </c>
      <c r="H127" t="s">
        <v>705</v>
      </c>
    </row>
    <row r="128" spans="1:9" x14ac:dyDescent="0.25">
      <c r="A128" s="4" t="str">
        <f>"47"</f>
        <v>47</v>
      </c>
      <c r="B128" s="4" t="s">
        <v>1300</v>
      </c>
      <c r="C128" t="s">
        <v>1301</v>
      </c>
      <c r="D128" t="s">
        <v>1302</v>
      </c>
      <c r="E128" t="str">
        <f>"539 73"</f>
        <v>539 73</v>
      </c>
      <c r="F128" t="s">
        <v>1303</v>
      </c>
      <c r="G128" t="s">
        <v>1294</v>
      </c>
      <c r="H128" t="s">
        <v>202</v>
      </c>
    </row>
    <row r="129" spans="1:9" x14ac:dyDescent="0.25">
      <c r="A129" s="4" t="str">
        <f>"229"</f>
        <v>229</v>
      </c>
      <c r="B129" s="4" t="s">
        <v>1304</v>
      </c>
      <c r="C129" t="s">
        <v>225</v>
      </c>
      <c r="D129" t="s">
        <v>1305</v>
      </c>
      <c r="E129" t="str">
        <f>"538 43"</f>
        <v>538 43</v>
      </c>
      <c r="F129" t="s">
        <v>1306</v>
      </c>
      <c r="G129" t="s">
        <v>1294</v>
      </c>
      <c r="H129" t="s">
        <v>202</v>
      </c>
    </row>
    <row r="130" spans="1:9" x14ac:dyDescent="0.25">
      <c r="A130" s="4" t="str">
        <f>"1493"</f>
        <v>1493</v>
      </c>
      <c r="B130" s="4" t="s">
        <v>1307</v>
      </c>
      <c r="C130" t="s">
        <v>1308</v>
      </c>
      <c r="D130" t="s">
        <v>1309</v>
      </c>
      <c r="E130" t="str">
        <f>"430 01"</f>
        <v>430 01</v>
      </c>
      <c r="F130" t="s">
        <v>1310</v>
      </c>
      <c r="G130" t="s">
        <v>1311</v>
      </c>
      <c r="H130" t="s">
        <v>202</v>
      </c>
    </row>
    <row r="131" spans="1:9" x14ac:dyDescent="0.25">
      <c r="A131" s="4" t="str">
        <f>"3034"</f>
        <v>3034</v>
      </c>
      <c r="B131" s="4" t="s">
        <v>1312</v>
      </c>
      <c r="C131" t="s">
        <v>1313</v>
      </c>
      <c r="D131" t="s">
        <v>1314</v>
      </c>
      <c r="E131" t="str">
        <f>"431 51"</f>
        <v>431 51</v>
      </c>
      <c r="F131" t="s">
        <v>1315</v>
      </c>
      <c r="G131" t="s">
        <v>1311</v>
      </c>
      <c r="H131" t="s">
        <v>202</v>
      </c>
    </row>
    <row r="132" spans="1:9" x14ac:dyDescent="0.25">
      <c r="A132" s="4" t="str">
        <f>"2610"</f>
        <v>2610</v>
      </c>
      <c r="B132" s="4" t="s">
        <v>1316</v>
      </c>
      <c r="C132" t="s">
        <v>1317</v>
      </c>
      <c r="D132" t="s">
        <v>1318</v>
      </c>
      <c r="E132" t="str">
        <f>"431 11"</f>
        <v>431 11</v>
      </c>
      <c r="F132" t="s">
        <v>1319</v>
      </c>
      <c r="G132" t="s">
        <v>1311</v>
      </c>
      <c r="H132" t="s">
        <v>202</v>
      </c>
    </row>
    <row r="133" spans="1:9" x14ac:dyDescent="0.25">
      <c r="A133" s="4" t="str">
        <f>"3033"</f>
        <v>3033</v>
      </c>
      <c r="B133" s="4" t="s">
        <v>1320</v>
      </c>
      <c r="C133" t="s">
        <v>1321</v>
      </c>
      <c r="D133" t="s">
        <v>1322</v>
      </c>
      <c r="E133" t="str">
        <f>"406 55"</f>
        <v>406 55</v>
      </c>
      <c r="F133" t="s">
        <v>1323</v>
      </c>
      <c r="G133" t="s">
        <v>1311</v>
      </c>
      <c r="H133" t="s">
        <v>202</v>
      </c>
    </row>
    <row r="134" spans="1:9" x14ac:dyDescent="0.25">
      <c r="A134" s="4" t="str">
        <f>"582"</f>
        <v>582</v>
      </c>
      <c r="B134" s="4" t="s">
        <v>1324</v>
      </c>
      <c r="C134" t="s">
        <v>1325</v>
      </c>
      <c r="D134" t="s">
        <v>1326</v>
      </c>
      <c r="E134" t="str">
        <f>"407 47"</f>
        <v>407 47</v>
      </c>
      <c r="F134" t="s">
        <v>1327</v>
      </c>
      <c r="G134" t="s">
        <v>1311</v>
      </c>
      <c r="H134" t="s">
        <v>202</v>
      </c>
    </row>
    <row r="135" spans="1:9" x14ac:dyDescent="0.25">
      <c r="A135" s="4" t="str">
        <f>"3723"</f>
        <v>3723</v>
      </c>
      <c r="B135" s="4" t="s">
        <v>1328</v>
      </c>
      <c r="C135" t="s">
        <v>1329</v>
      </c>
      <c r="D135" t="s">
        <v>1330</v>
      </c>
      <c r="E135" t="str">
        <f>"407 78"</f>
        <v>407 78</v>
      </c>
      <c r="F135" t="s">
        <v>1331</v>
      </c>
      <c r="G135" t="s">
        <v>1311</v>
      </c>
      <c r="H135" t="s">
        <v>202</v>
      </c>
    </row>
    <row r="136" spans="1:9" x14ac:dyDescent="0.25">
      <c r="A136" s="4" t="str">
        <f>"1264"</f>
        <v>1264</v>
      </c>
      <c r="B136" s="4" t="s">
        <v>1336</v>
      </c>
      <c r="C136" t="s">
        <v>1337</v>
      </c>
      <c r="D136" t="s">
        <v>1338</v>
      </c>
      <c r="E136" t="str">
        <f>"407 77"</f>
        <v>407 77</v>
      </c>
      <c r="F136" t="s">
        <v>1339</v>
      </c>
      <c r="G136" t="s">
        <v>1311</v>
      </c>
      <c r="H136" t="s">
        <v>202</v>
      </c>
    </row>
    <row r="137" spans="1:9" x14ac:dyDescent="0.25">
      <c r="A137" s="4" t="str">
        <f>"1256"</f>
        <v>1256</v>
      </c>
      <c r="B137" s="4" t="s">
        <v>1340</v>
      </c>
      <c r="C137" t="s">
        <v>1341</v>
      </c>
      <c r="D137" t="s">
        <v>1342</v>
      </c>
      <c r="E137" t="str">
        <f>"407 51"</f>
        <v>407 51</v>
      </c>
      <c r="F137" t="s">
        <v>1343</v>
      </c>
      <c r="G137" t="s">
        <v>1311</v>
      </c>
      <c r="H137" t="s">
        <v>120</v>
      </c>
    </row>
    <row r="138" spans="1:9" x14ac:dyDescent="0.25">
      <c r="A138" s="4" t="str">
        <f>"1438"</f>
        <v>1438</v>
      </c>
      <c r="B138" s="4" t="s">
        <v>1344</v>
      </c>
      <c r="C138" t="s">
        <v>1345</v>
      </c>
      <c r="D138" t="s">
        <v>1346</v>
      </c>
      <c r="E138" t="str">
        <f>"407 80"</f>
        <v>407 80</v>
      </c>
      <c r="F138" t="s">
        <v>1347</v>
      </c>
      <c r="G138" t="s">
        <v>1311</v>
      </c>
      <c r="H138" t="s">
        <v>120</v>
      </c>
    </row>
    <row r="139" spans="1:9" x14ac:dyDescent="0.25">
      <c r="A139" s="4" t="str">
        <f>"1732"</f>
        <v>1732</v>
      </c>
      <c r="B139" s="4" t="s">
        <v>1348</v>
      </c>
      <c r="C139" t="s">
        <v>1349</v>
      </c>
      <c r="D139" t="s">
        <v>1350</v>
      </c>
      <c r="E139" t="str">
        <f>"407 56"</f>
        <v>407 56</v>
      </c>
      <c r="F139" t="s">
        <v>1351</v>
      </c>
      <c r="G139" t="s">
        <v>1311</v>
      </c>
      <c r="H139" t="s">
        <v>120</v>
      </c>
    </row>
    <row r="140" spans="1:9" x14ac:dyDescent="0.25">
      <c r="A140" s="4" t="str">
        <f>"1738"</f>
        <v>1738</v>
      </c>
      <c r="B140" s="4" t="s">
        <v>1352</v>
      </c>
      <c r="C140" t="s">
        <v>1353</v>
      </c>
      <c r="D140" t="s">
        <v>1354</v>
      </c>
      <c r="E140" t="str">
        <f>"407 44"</f>
        <v>407 44</v>
      </c>
      <c r="F140" t="s">
        <v>1355</v>
      </c>
      <c r="G140" t="s">
        <v>1311</v>
      </c>
      <c r="H140" t="s">
        <v>120</v>
      </c>
    </row>
    <row r="141" spans="1:9" x14ac:dyDescent="0.25">
      <c r="A141" s="4" t="str">
        <f>"2205"</f>
        <v>2205</v>
      </c>
      <c r="B141" s="4" t="s">
        <v>1356</v>
      </c>
      <c r="C141" t="s">
        <v>1357</v>
      </c>
      <c r="D141" t="s">
        <v>1358</v>
      </c>
      <c r="E141" t="str">
        <f>"407 46"</f>
        <v>407 46</v>
      </c>
      <c r="F141" t="s">
        <v>1359</v>
      </c>
      <c r="G141" t="s">
        <v>1311</v>
      </c>
      <c r="H141" t="s">
        <v>202</v>
      </c>
    </row>
    <row r="142" spans="1:9" x14ac:dyDescent="0.25">
      <c r="A142" s="4" t="str">
        <f>"2959"</f>
        <v>2959</v>
      </c>
      <c r="B142" s="4" t="s">
        <v>1360</v>
      </c>
      <c r="C142" t="s">
        <v>1361</v>
      </c>
      <c r="D142" t="s">
        <v>1362</v>
      </c>
      <c r="E142" t="str">
        <f>"407 82"</f>
        <v>407 82</v>
      </c>
      <c r="F142" t="s">
        <v>1363</v>
      </c>
      <c r="G142" t="s">
        <v>1311</v>
      </c>
      <c r="H142" t="s">
        <v>202</v>
      </c>
    </row>
    <row r="143" spans="1:9" x14ac:dyDescent="0.25">
      <c r="A143" s="4" t="str">
        <f>"2961"</f>
        <v>2961</v>
      </c>
      <c r="B143" s="4" t="s">
        <v>1364</v>
      </c>
      <c r="C143" t="s">
        <v>1365</v>
      </c>
      <c r="D143" t="s">
        <v>1366</v>
      </c>
      <c r="E143" t="str">
        <f>"407 53"</f>
        <v>407 53</v>
      </c>
      <c r="F143" t="s">
        <v>1367</v>
      </c>
      <c r="G143" t="s">
        <v>1311</v>
      </c>
      <c r="H143" t="s">
        <v>202</v>
      </c>
      <c r="I143" t="s">
        <v>1368</v>
      </c>
    </row>
    <row r="144" spans="1:9" x14ac:dyDescent="0.25">
      <c r="A144" s="4" t="str">
        <f>"3066"</f>
        <v>3066</v>
      </c>
      <c r="B144" s="4" t="s">
        <v>1369</v>
      </c>
      <c r="C144" t="s">
        <v>1370</v>
      </c>
      <c r="D144" t="s">
        <v>1371</v>
      </c>
      <c r="E144" t="str">
        <f>"407 57"</f>
        <v>407 57</v>
      </c>
      <c r="F144" t="s">
        <v>1372</v>
      </c>
      <c r="G144" t="s">
        <v>1311</v>
      </c>
      <c r="H144" t="s">
        <v>120</v>
      </c>
    </row>
    <row r="145" spans="1:9" x14ac:dyDescent="0.25">
      <c r="A145" s="4" t="str">
        <f>"3566"</f>
        <v>3566</v>
      </c>
      <c r="B145" s="4" t="s">
        <v>1373</v>
      </c>
      <c r="C145" t="s">
        <v>1374</v>
      </c>
      <c r="D145" t="s">
        <v>1375</v>
      </c>
      <c r="E145" t="str">
        <f>"407 61"</f>
        <v>407 61</v>
      </c>
      <c r="F145" t="s">
        <v>1376</v>
      </c>
      <c r="G145" t="s">
        <v>1311</v>
      </c>
      <c r="H145" t="s">
        <v>120</v>
      </c>
    </row>
    <row r="146" spans="1:9" x14ac:dyDescent="0.25">
      <c r="A146" s="4" t="str">
        <f>"3943"</f>
        <v>3943</v>
      </c>
      <c r="B146" s="4" t="s">
        <v>1377</v>
      </c>
      <c r="C146" t="s">
        <v>1378</v>
      </c>
      <c r="D146" t="s">
        <v>1379</v>
      </c>
      <c r="E146" t="str">
        <f>"407 46"</f>
        <v>407 46</v>
      </c>
      <c r="F146" t="s">
        <v>1380</v>
      </c>
      <c r="G146" t="s">
        <v>1311</v>
      </c>
      <c r="H146" t="s">
        <v>120</v>
      </c>
    </row>
    <row r="147" spans="1:9" x14ac:dyDescent="0.25">
      <c r="A147" s="4" t="str">
        <f>"3967"</f>
        <v>3967</v>
      </c>
      <c r="B147" s="4" t="s">
        <v>1381</v>
      </c>
      <c r="C147" t="s">
        <v>1382</v>
      </c>
      <c r="D147" t="s">
        <v>1383</v>
      </c>
      <c r="E147" t="str">
        <f>"407 79"</f>
        <v>407 79</v>
      </c>
      <c r="F147" t="s">
        <v>1384</v>
      </c>
      <c r="G147" t="s">
        <v>1311</v>
      </c>
      <c r="H147" t="s">
        <v>202</v>
      </c>
    </row>
    <row r="148" spans="1:9" x14ac:dyDescent="0.25">
      <c r="A148" s="4" t="str">
        <f>"4462"</f>
        <v>4462</v>
      </c>
      <c r="B148" s="4" t="s">
        <v>1385</v>
      </c>
      <c r="C148" t="s">
        <v>1386</v>
      </c>
      <c r="D148" t="s">
        <v>1387</v>
      </c>
      <c r="E148" t="str">
        <f>"407 81"</f>
        <v>407 81</v>
      </c>
      <c r="F148" t="s">
        <v>1388</v>
      </c>
      <c r="G148" t="s">
        <v>1311</v>
      </c>
      <c r="H148" t="s">
        <v>120</v>
      </c>
    </row>
    <row r="149" spans="1:9" x14ac:dyDescent="0.25">
      <c r="A149" s="4" t="str">
        <f>"5236"</f>
        <v>5236</v>
      </c>
      <c r="B149" s="4" t="s">
        <v>1389</v>
      </c>
      <c r="C149" t="s">
        <v>1390</v>
      </c>
      <c r="D149" t="s">
        <v>1391</v>
      </c>
      <c r="E149" t="str">
        <f>"407 55"</f>
        <v>407 55</v>
      </c>
      <c r="F149" t="s">
        <v>1392</v>
      </c>
      <c r="G149" t="s">
        <v>1311</v>
      </c>
      <c r="H149" t="s">
        <v>120</v>
      </c>
    </row>
    <row r="150" spans="1:9" x14ac:dyDescent="0.25">
      <c r="A150" s="4" t="str">
        <f>"876"</f>
        <v>876</v>
      </c>
      <c r="B150" s="4" t="s">
        <v>1393</v>
      </c>
      <c r="C150" t="s">
        <v>1394</v>
      </c>
      <c r="D150" t="s">
        <v>1395</v>
      </c>
      <c r="E150" t="str">
        <f>"344 58"</f>
        <v>344 58</v>
      </c>
      <c r="F150" t="s">
        <v>1396</v>
      </c>
      <c r="G150" t="s">
        <v>1397</v>
      </c>
      <c r="H150" t="s">
        <v>202</v>
      </c>
    </row>
    <row r="151" spans="1:9" x14ac:dyDescent="0.25">
      <c r="A151" s="4" t="str">
        <f>"4911"</f>
        <v>4911</v>
      </c>
      <c r="B151" s="4" t="s">
        <v>1398</v>
      </c>
      <c r="C151" t="s">
        <v>1399</v>
      </c>
      <c r="D151" t="s">
        <v>1400</v>
      </c>
      <c r="E151" t="str">
        <f>"345 34"</f>
        <v>345 34</v>
      </c>
      <c r="F151" t="s">
        <v>1401</v>
      </c>
      <c r="G151" t="s">
        <v>1397</v>
      </c>
      <c r="H151" t="s">
        <v>120</v>
      </c>
    </row>
    <row r="152" spans="1:9" x14ac:dyDescent="0.25">
      <c r="A152" s="4">
        <v>2117</v>
      </c>
      <c r="C152" t="s">
        <v>5285</v>
      </c>
      <c r="D152" t="s">
        <v>5286</v>
      </c>
      <c r="E152" t="str">
        <f>"738 01"</f>
        <v>738 01</v>
      </c>
      <c r="F152" t="s">
        <v>1402</v>
      </c>
      <c r="G152" t="s">
        <v>1004</v>
      </c>
      <c r="H152" t="s">
        <v>202</v>
      </c>
    </row>
    <row r="153" spans="1:9" x14ac:dyDescent="0.25">
      <c r="A153" s="4" t="str">
        <f>"106"</f>
        <v>106</v>
      </c>
      <c r="B153" s="4" t="s">
        <v>1403</v>
      </c>
      <c r="C153" t="s">
        <v>1404</v>
      </c>
      <c r="D153" t="s">
        <v>1405</v>
      </c>
      <c r="E153" t="str">
        <f>"739 32"</f>
        <v>739 32</v>
      </c>
      <c r="F153" t="s">
        <v>1406</v>
      </c>
      <c r="G153" t="s">
        <v>1004</v>
      </c>
      <c r="H153" t="s">
        <v>202</v>
      </c>
    </row>
    <row r="154" spans="1:9" x14ac:dyDescent="0.25">
      <c r="A154" s="4" t="str">
        <f>"2118"</f>
        <v>2118</v>
      </c>
      <c r="B154" s="4" t="s">
        <v>1407</v>
      </c>
      <c r="C154" t="s">
        <v>1408</v>
      </c>
      <c r="D154" t="s">
        <v>1409</v>
      </c>
      <c r="E154" t="str">
        <f>"739 61"</f>
        <v>739 61</v>
      </c>
      <c r="F154" t="s">
        <v>1410</v>
      </c>
      <c r="G154" t="s">
        <v>1004</v>
      </c>
      <c r="H154" t="s">
        <v>202</v>
      </c>
    </row>
    <row r="155" spans="1:9" x14ac:dyDescent="0.25">
      <c r="A155" s="4" t="str">
        <f>"775"</f>
        <v>775</v>
      </c>
      <c r="B155" s="4" t="s">
        <v>1411</v>
      </c>
      <c r="C155" t="s">
        <v>1412</v>
      </c>
      <c r="D155" t="s">
        <v>1413</v>
      </c>
      <c r="E155" t="str">
        <f>"739 95"</f>
        <v>739 95</v>
      </c>
      <c r="F155" t="s">
        <v>1414</v>
      </c>
      <c r="G155" t="s">
        <v>1004</v>
      </c>
      <c r="H155" t="s">
        <v>120</v>
      </c>
    </row>
    <row r="156" spans="1:9" x14ac:dyDescent="0.25">
      <c r="A156" s="4" t="str">
        <f>"1983"</f>
        <v>1983</v>
      </c>
      <c r="B156" s="4" t="s">
        <v>1423</v>
      </c>
      <c r="C156" t="s">
        <v>1424</v>
      </c>
      <c r="D156" t="s">
        <v>1425</v>
      </c>
      <c r="E156" t="str">
        <f>"739 53"</f>
        <v>739 53</v>
      </c>
      <c r="F156" t="s">
        <v>1426</v>
      </c>
      <c r="G156" t="s">
        <v>1004</v>
      </c>
      <c r="H156" t="s">
        <v>120</v>
      </c>
      <c r="I156" t="s">
        <v>1427</v>
      </c>
    </row>
    <row r="157" spans="1:9" x14ac:dyDescent="0.25">
      <c r="A157" s="4" t="str">
        <f>"2207"</f>
        <v>2207</v>
      </c>
      <c r="B157" s="4" t="s">
        <v>1428</v>
      </c>
      <c r="C157" t="s">
        <v>1429</v>
      </c>
      <c r="D157" t="s">
        <v>1430</v>
      </c>
      <c r="E157" t="str">
        <f>"739 44"</f>
        <v>739 44</v>
      </c>
      <c r="F157" t="s">
        <v>1431</v>
      </c>
      <c r="G157" t="s">
        <v>1004</v>
      </c>
      <c r="H157" t="s">
        <v>202</v>
      </c>
    </row>
    <row r="158" spans="1:9" x14ac:dyDescent="0.25">
      <c r="A158" s="4" t="str">
        <f>"1714"</f>
        <v>1714</v>
      </c>
      <c r="B158" s="4" t="s">
        <v>1432</v>
      </c>
      <c r="C158" t="s">
        <v>1433</v>
      </c>
      <c r="D158" t="s">
        <v>1434</v>
      </c>
      <c r="E158" t="str">
        <f>"739 51"</f>
        <v>739 51</v>
      </c>
      <c r="F158" t="s">
        <v>1435</v>
      </c>
      <c r="G158" t="s">
        <v>1004</v>
      </c>
      <c r="H158" t="s">
        <v>120</v>
      </c>
    </row>
    <row r="159" spans="1:9" x14ac:dyDescent="0.25">
      <c r="A159" s="4" t="str">
        <f>"107"</f>
        <v>107</v>
      </c>
      <c r="B159" s="4" t="s">
        <v>1440</v>
      </c>
      <c r="C159" t="s">
        <v>1441</v>
      </c>
      <c r="D159" t="s">
        <v>1442</v>
      </c>
      <c r="E159" t="str">
        <f>"739 21"</f>
        <v>739 21</v>
      </c>
      <c r="F159" t="s">
        <v>1443</v>
      </c>
      <c r="G159" t="s">
        <v>1004</v>
      </c>
      <c r="H159" t="s">
        <v>120</v>
      </c>
    </row>
    <row r="160" spans="1:9" x14ac:dyDescent="0.25">
      <c r="A160" s="4" t="str">
        <f>"297"</f>
        <v>297</v>
      </c>
      <c r="B160" s="4" t="s">
        <v>1444</v>
      </c>
      <c r="C160" t="s">
        <v>1445</v>
      </c>
      <c r="D160" t="s">
        <v>1446</v>
      </c>
      <c r="E160" t="str">
        <f>"739 04"</f>
        <v>739 04</v>
      </c>
      <c r="F160" t="s">
        <v>1447</v>
      </c>
      <c r="G160" t="s">
        <v>1004</v>
      </c>
      <c r="H160" t="s">
        <v>120</v>
      </c>
    </row>
    <row r="161" spans="1:9" x14ac:dyDescent="0.25">
      <c r="A161" s="4" t="str">
        <f>"108"</f>
        <v>108</v>
      </c>
      <c r="B161" s="4" t="s">
        <v>1448</v>
      </c>
      <c r="C161" t="s">
        <v>1449</v>
      </c>
      <c r="D161" t="s">
        <v>1450</v>
      </c>
      <c r="E161" t="str">
        <f>"739 31"</f>
        <v>739 31</v>
      </c>
      <c r="F161" t="s">
        <v>1451</v>
      </c>
      <c r="G161" t="s">
        <v>1004</v>
      </c>
      <c r="H161" t="s">
        <v>120</v>
      </c>
    </row>
    <row r="162" spans="1:9" x14ac:dyDescent="0.25">
      <c r="A162" s="4" t="str">
        <f>"2004/2002"</f>
        <v>2004/2002</v>
      </c>
      <c r="B162" s="4" t="s">
        <v>1460</v>
      </c>
      <c r="C162" t="s">
        <v>1461</v>
      </c>
      <c r="D162" t="s">
        <v>1462</v>
      </c>
      <c r="E162" t="str">
        <f>"739 53"</f>
        <v>739 53</v>
      </c>
      <c r="F162" t="s">
        <v>1463</v>
      </c>
      <c r="G162" t="s">
        <v>1004</v>
      </c>
      <c r="H162" t="s">
        <v>120</v>
      </c>
    </row>
    <row r="163" spans="1:9" x14ac:dyDescent="0.25">
      <c r="A163" s="4" t="str">
        <f>"270"</f>
        <v>270</v>
      </c>
      <c r="B163" s="4" t="s">
        <v>1464</v>
      </c>
      <c r="C163" t="s">
        <v>1465</v>
      </c>
      <c r="D163" t="s">
        <v>1466</v>
      </c>
      <c r="E163" t="str">
        <f>"739 55"</f>
        <v>739 55</v>
      </c>
      <c r="F163" t="s">
        <v>1467</v>
      </c>
      <c r="G163" t="s">
        <v>1004</v>
      </c>
      <c r="H163" t="s">
        <v>120</v>
      </c>
    </row>
    <row r="164" spans="1:9" x14ac:dyDescent="0.25">
      <c r="A164" s="4" t="str">
        <f>"109"</f>
        <v>109</v>
      </c>
      <c r="B164" s="4" t="s">
        <v>1472</v>
      </c>
      <c r="C164" t="s">
        <v>1473</v>
      </c>
      <c r="D164" t="s">
        <v>1474</v>
      </c>
      <c r="E164" t="str">
        <f>"739 33"</f>
        <v>739 33</v>
      </c>
      <c r="F164" t="s">
        <v>1475</v>
      </c>
      <c r="G164" t="s">
        <v>1004</v>
      </c>
      <c r="H164" t="s">
        <v>202</v>
      </c>
      <c r="I164" t="s">
        <v>1476</v>
      </c>
    </row>
    <row r="165" spans="1:9" x14ac:dyDescent="0.25">
      <c r="A165" s="4" t="str">
        <f>"110"</f>
        <v>110</v>
      </c>
      <c r="B165" s="4" t="s">
        <v>1477</v>
      </c>
      <c r="C165" t="s">
        <v>1478</v>
      </c>
      <c r="D165" t="s">
        <v>1479</v>
      </c>
      <c r="E165" t="str">
        <f>"739 25"</f>
        <v>739 25</v>
      </c>
      <c r="F165" t="s">
        <v>1480</v>
      </c>
      <c r="G165" t="s">
        <v>1004</v>
      </c>
      <c r="H165" t="s">
        <v>120</v>
      </c>
    </row>
    <row r="166" spans="1:9" x14ac:dyDescent="0.25">
      <c r="A166" s="4" t="str">
        <f>"111"</f>
        <v>111</v>
      </c>
      <c r="B166" s="4" t="s">
        <v>1481</v>
      </c>
      <c r="C166" t="s">
        <v>1482</v>
      </c>
      <c r="D166" t="s">
        <v>1483</v>
      </c>
      <c r="E166" t="str">
        <f>"739 21"</f>
        <v>739 21</v>
      </c>
      <c r="F166" t="s">
        <v>1484</v>
      </c>
      <c r="G166" t="s">
        <v>1004</v>
      </c>
      <c r="H166" t="s">
        <v>120</v>
      </c>
    </row>
    <row r="167" spans="1:9" x14ac:dyDescent="0.25">
      <c r="A167" s="4" t="str">
        <f>"1553"</f>
        <v>1553</v>
      </c>
      <c r="B167" s="4" t="s">
        <v>1489</v>
      </c>
      <c r="C167" t="s">
        <v>1490</v>
      </c>
      <c r="D167" t="s">
        <v>1491</v>
      </c>
      <c r="E167" t="str">
        <f>"739 56"</f>
        <v>739 56</v>
      </c>
      <c r="F167" t="s">
        <v>1492</v>
      </c>
      <c r="G167" t="s">
        <v>1004</v>
      </c>
      <c r="H167" t="s">
        <v>120</v>
      </c>
    </row>
    <row r="168" spans="1:9" x14ac:dyDescent="0.25">
      <c r="A168" s="4" t="str">
        <f>"1582"</f>
        <v>1582</v>
      </c>
      <c r="B168" s="4" t="s">
        <v>1493</v>
      </c>
      <c r="C168" t="s">
        <v>1494</v>
      </c>
      <c r="D168" t="s">
        <v>1495</v>
      </c>
      <c r="E168" t="str">
        <f>"739 84"</f>
        <v>739 84</v>
      </c>
      <c r="F168" t="s">
        <v>1496</v>
      </c>
      <c r="G168" t="s">
        <v>1004</v>
      </c>
      <c r="H168" t="s">
        <v>120</v>
      </c>
    </row>
    <row r="169" spans="1:9" x14ac:dyDescent="0.25">
      <c r="A169" s="4" t="str">
        <f>"2403"</f>
        <v>2403</v>
      </c>
      <c r="B169" s="4" t="s">
        <v>1505</v>
      </c>
      <c r="C169" t="s">
        <v>1506</v>
      </c>
      <c r="D169" t="s">
        <v>1507</v>
      </c>
      <c r="E169" t="str">
        <f>"580 01"</f>
        <v>580 01</v>
      </c>
      <c r="F169" t="s">
        <v>1508</v>
      </c>
      <c r="G169" t="s">
        <v>1509</v>
      </c>
      <c r="H169" t="s">
        <v>115</v>
      </c>
    </row>
    <row r="170" spans="1:9" x14ac:dyDescent="0.25">
      <c r="A170" s="4" t="str">
        <f>"4558"</f>
        <v>4558</v>
      </c>
      <c r="B170" s="4" t="s">
        <v>1510</v>
      </c>
      <c r="C170" t="s">
        <v>1511</v>
      </c>
      <c r="D170" t="s">
        <v>1512</v>
      </c>
      <c r="E170" t="str">
        <f>"580 02"</f>
        <v>580 02</v>
      </c>
      <c r="F170" t="s">
        <v>1508</v>
      </c>
      <c r="G170" t="s">
        <v>1509</v>
      </c>
      <c r="H170" t="s">
        <v>705</v>
      </c>
    </row>
    <row r="171" spans="1:9" x14ac:dyDescent="0.25">
      <c r="A171" s="4" t="str">
        <f>"2945"</f>
        <v>2945</v>
      </c>
      <c r="B171" s="4" t="s">
        <v>1513</v>
      </c>
      <c r="C171" t="s">
        <v>1514</v>
      </c>
      <c r="D171" t="s">
        <v>1515</v>
      </c>
      <c r="E171" t="str">
        <f>"583 01"</f>
        <v>583 01</v>
      </c>
      <c r="F171" t="s">
        <v>1516</v>
      </c>
      <c r="G171" t="s">
        <v>1509</v>
      </c>
      <c r="H171" t="s">
        <v>202</v>
      </c>
    </row>
    <row r="172" spans="1:9" x14ac:dyDescent="0.25">
      <c r="A172" s="4" t="str">
        <f>"2724"</f>
        <v>2724</v>
      </c>
      <c r="B172" s="4" t="s">
        <v>1517</v>
      </c>
      <c r="C172" t="s">
        <v>1518</v>
      </c>
      <c r="D172" t="s">
        <v>1519</v>
      </c>
      <c r="E172" t="str">
        <f>"582 91"</f>
        <v>582 91</v>
      </c>
      <c r="F172" t="s">
        <v>1520</v>
      </c>
      <c r="G172" t="s">
        <v>1509</v>
      </c>
      <c r="H172" t="s">
        <v>202</v>
      </c>
    </row>
    <row r="173" spans="1:9" x14ac:dyDescent="0.25">
      <c r="A173" s="4" t="str">
        <f>"2767"</f>
        <v>2767</v>
      </c>
      <c r="B173" s="4" t="s">
        <v>1521</v>
      </c>
      <c r="C173" t="s">
        <v>225</v>
      </c>
      <c r="D173" t="s">
        <v>1522</v>
      </c>
      <c r="E173" t="str">
        <f>"584 01"</f>
        <v>584 01</v>
      </c>
      <c r="F173" t="s">
        <v>1523</v>
      </c>
      <c r="G173" t="s">
        <v>1509</v>
      </c>
      <c r="H173" t="s">
        <v>202</v>
      </c>
    </row>
    <row r="174" spans="1:9" x14ac:dyDescent="0.25">
      <c r="A174" s="4" t="str">
        <f>"4083"</f>
        <v>4083</v>
      </c>
      <c r="B174" s="4" t="s">
        <v>1524</v>
      </c>
      <c r="C174" t="s">
        <v>1525</v>
      </c>
      <c r="D174" t="s">
        <v>1526</v>
      </c>
      <c r="E174" t="str">
        <f>"582 22"</f>
        <v>582 22</v>
      </c>
      <c r="F174" t="s">
        <v>1527</v>
      </c>
      <c r="G174" t="s">
        <v>1509</v>
      </c>
      <c r="H174" t="s">
        <v>202</v>
      </c>
    </row>
    <row r="175" spans="1:9" x14ac:dyDescent="0.25">
      <c r="A175" s="4" t="str">
        <f>"1192"</f>
        <v>1192</v>
      </c>
      <c r="B175" s="4" t="s">
        <v>1532</v>
      </c>
      <c r="C175" t="s">
        <v>1533</v>
      </c>
      <c r="D175" t="s">
        <v>1534</v>
      </c>
      <c r="E175" t="str">
        <f>"500 03"</f>
        <v>500 03</v>
      </c>
      <c r="F175" t="s">
        <v>1535</v>
      </c>
      <c r="G175" t="s">
        <v>1536</v>
      </c>
      <c r="H175" t="s">
        <v>115</v>
      </c>
    </row>
    <row r="176" spans="1:9" x14ac:dyDescent="0.25">
      <c r="A176" s="4" t="str">
        <f>"4079"</f>
        <v>4079</v>
      </c>
      <c r="B176" s="4" t="s">
        <v>1537</v>
      </c>
      <c r="C176" t="s">
        <v>1538</v>
      </c>
      <c r="D176" t="s">
        <v>1539</v>
      </c>
      <c r="E176" t="str">
        <f>"500 01"</f>
        <v>500 01</v>
      </c>
      <c r="F176" t="s">
        <v>1535</v>
      </c>
      <c r="G176" t="s">
        <v>1536</v>
      </c>
      <c r="H176" t="s">
        <v>92</v>
      </c>
    </row>
    <row r="177" spans="1:9" x14ac:dyDescent="0.25">
      <c r="A177" s="4" t="str">
        <f>"258"</f>
        <v>258</v>
      </c>
      <c r="B177" s="4" t="s">
        <v>1540</v>
      </c>
      <c r="C177" t="s">
        <v>1541</v>
      </c>
      <c r="D177" t="s">
        <v>1542</v>
      </c>
      <c r="E177" t="str">
        <f>"500 02"</f>
        <v>500 02</v>
      </c>
      <c r="F177" t="s">
        <v>1535</v>
      </c>
      <c r="G177" t="s">
        <v>1536</v>
      </c>
      <c r="H177" t="s">
        <v>202</v>
      </c>
      <c r="I177" t="s">
        <v>1543</v>
      </c>
    </row>
    <row r="178" spans="1:9" x14ac:dyDescent="0.25">
      <c r="A178" s="4" t="str">
        <f>"4743"</f>
        <v>4743</v>
      </c>
      <c r="B178" s="4" t="s">
        <v>1544</v>
      </c>
      <c r="C178" t="s">
        <v>1545</v>
      </c>
      <c r="D178" t="s">
        <v>1546</v>
      </c>
      <c r="E178" t="str">
        <f>"503 03"</f>
        <v>503 03</v>
      </c>
      <c r="F178" t="s">
        <v>1547</v>
      </c>
      <c r="G178" t="s">
        <v>1536</v>
      </c>
      <c r="H178" t="s">
        <v>202</v>
      </c>
    </row>
    <row r="179" spans="1:9" x14ac:dyDescent="0.25">
      <c r="A179" s="4" t="str">
        <f>"2045"</f>
        <v>2045</v>
      </c>
      <c r="B179" s="4" t="s">
        <v>1548</v>
      </c>
      <c r="C179" t="s">
        <v>1549</v>
      </c>
      <c r="D179" t="s">
        <v>1550</v>
      </c>
      <c r="E179" t="str">
        <f>"503 51"</f>
        <v>503 51</v>
      </c>
      <c r="F179" t="s">
        <v>1551</v>
      </c>
      <c r="G179" t="s">
        <v>1536</v>
      </c>
      <c r="H179" t="s">
        <v>202</v>
      </c>
    </row>
    <row r="180" spans="1:9" x14ac:dyDescent="0.25">
      <c r="A180" s="4" t="str">
        <f>"1630"</f>
        <v>1630</v>
      </c>
      <c r="B180" s="4" t="s">
        <v>1552</v>
      </c>
      <c r="C180" t="s">
        <v>1553</v>
      </c>
      <c r="D180" t="s">
        <v>1554</v>
      </c>
      <c r="E180" t="str">
        <f>"503 43"</f>
        <v>503 43</v>
      </c>
      <c r="F180" t="s">
        <v>1555</v>
      </c>
      <c r="G180" t="s">
        <v>1536</v>
      </c>
      <c r="H180" t="s">
        <v>120</v>
      </c>
    </row>
    <row r="181" spans="1:9" x14ac:dyDescent="0.25">
      <c r="A181" s="4" t="str">
        <f>"123"</f>
        <v>123</v>
      </c>
      <c r="B181" s="4" t="s">
        <v>1556</v>
      </c>
      <c r="C181" t="s">
        <v>1557</v>
      </c>
      <c r="D181" t="s">
        <v>1558</v>
      </c>
      <c r="E181" t="str">
        <f>"695 14"</f>
        <v>695 14</v>
      </c>
      <c r="F181" t="s">
        <v>1559</v>
      </c>
      <c r="G181" t="s">
        <v>675</v>
      </c>
      <c r="H181" t="s">
        <v>202</v>
      </c>
    </row>
    <row r="182" spans="1:9" x14ac:dyDescent="0.25">
      <c r="A182" s="4" t="str">
        <f>"193"</f>
        <v>193</v>
      </c>
      <c r="B182" s="4" t="s">
        <v>1564</v>
      </c>
      <c r="C182" t="s">
        <v>1565</v>
      </c>
      <c r="D182" t="s">
        <v>1566</v>
      </c>
      <c r="E182" t="str">
        <f>"697 01"</f>
        <v>697 01</v>
      </c>
      <c r="F182" t="s">
        <v>1567</v>
      </c>
      <c r="G182" t="s">
        <v>675</v>
      </c>
      <c r="H182" t="s">
        <v>202</v>
      </c>
    </row>
    <row r="183" spans="1:9" x14ac:dyDescent="0.25">
      <c r="A183" s="4" t="str">
        <f>"5263"</f>
        <v>5263</v>
      </c>
      <c r="B183" s="4" t="s">
        <v>1596</v>
      </c>
      <c r="C183" t="s">
        <v>1597</v>
      </c>
      <c r="D183" t="s">
        <v>1598</v>
      </c>
      <c r="E183" t="str">
        <f>"696 02"</f>
        <v>696 02</v>
      </c>
      <c r="F183" t="s">
        <v>1599</v>
      </c>
      <c r="G183" t="s">
        <v>675</v>
      </c>
      <c r="H183" t="s">
        <v>120</v>
      </c>
    </row>
    <row r="184" spans="1:9" x14ac:dyDescent="0.25">
      <c r="A184" s="4" t="str">
        <f>"499"</f>
        <v>499</v>
      </c>
      <c r="B184" s="4" t="s">
        <v>1701</v>
      </c>
      <c r="C184" t="s">
        <v>1702</v>
      </c>
      <c r="D184" t="s">
        <v>1703</v>
      </c>
      <c r="E184" t="str">
        <f>"696 11"</f>
        <v>696 11</v>
      </c>
      <c r="F184" t="s">
        <v>1704</v>
      </c>
      <c r="G184" t="s">
        <v>675</v>
      </c>
      <c r="H184" t="s">
        <v>120</v>
      </c>
    </row>
    <row r="185" spans="1:9" x14ac:dyDescent="0.25">
      <c r="A185" s="4" t="str">
        <f>"410"</f>
        <v>410</v>
      </c>
      <c r="B185" s="4" t="s">
        <v>1709</v>
      </c>
      <c r="C185" t="s">
        <v>1710</v>
      </c>
      <c r="D185" t="s">
        <v>1711</v>
      </c>
      <c r="E185" t="str">
        <f>"506 01"</f>
        <v>506 01</v>
      </c>
      <c r="F185" t="s">
        <v>1712</v>
      </c>
      <c r="G185" t="s">
        <v>1536</v>
      </c>
      <c r="H185" t="s">
        <v>202</v>
      </c>
    </row>
    <row r="186" spans="1:9" x14ac:dyDescent="0.25">
      <c r="A186" s="4" t="str">
        <f>"538"</f>
        <v>538</v>
      </c>
      <c r="B186" s="4" t="s">
        <v>1713</v>
      </c>
      <c r="C186" t="s">
        <v>225</v>
      </c>
      <c r="D186" t="s">
        <v>1714</v>
      </c>
      <c r="E186" t="str">
        <f>"509 01"</f>
        <v>509 01</v>
      </c>
      <c r="F186" t="s">
        <v>1715</v>
      </c>
      <c r="G186" t="s">
        <v>1536</v>
      </c>
      <c r="H186" t="s">
        <v>202</v>
      </c>
    </row>
    <row r="187" spans="1:9" x14ac:dyDescent="0.25">
      <c r="A187" s="4" t="str">
        <f>"2457"</f>
        <v>2457</v>
      </c>
      <c r="B187" s="4" t="s">
        <v>1719</v>
      </c>
      <c r="C187" t="s">
        <v>1720</v>
      </c>
      <c r="D187" t="s">
        <v>1721</v>
      </c>
      <c r="E187" t="str">
        <f>"507 82"</f>
        <v>507 82</v>
      </c>
      <c r="F187" t="s">
        <v>1722</v>
      </c>
      <c r="G187" t="s">
        <v>1536</v>
      </c>
      <c r="H187" t="s">
        <v>120</v>
      </c>
    </row>
    <row r="188" spans="1:9" x14ac:dyDescent="0.25">
      <c r="A188" s="4" t="str">
        <f>"2762"</f>
        <v>2762</v>
      </c>
      <c r="B188" s="4" t="s">
        <v>1766</v>
      </c>
      <c r="C188" t="s">
        <v>1767</v>
      </c>
      <c r="D188" t="s">
        <v>1768</v>
      </c>
      <c r="E188" t="str">
        <f>"790 01"</f>
        <v>790 01</v>
      </c>
      <c r="F188" t="s">
        <v>1769</v>
      </c>
      <c r="G188" t="s">
        <v>1023</v>
      </c>
      <c r="H188" t="s">
        <v>202</v>
      </c>
      <c r="I188" t="s">
        <v>1770</v>
      </c>
    </row>
    <row r="189" spans="1:9" x14ac:dyDescent="0.25">
      <c r="A189" s="4" t="str">
        <f>"637"</f>
        <v>637</v>
      </c>
      <c r="B189" s="4" t="s">
        <v>1771</v>
      </c>
      <c r="C189" t="s">
        <v>1772</v>
      </c>
      <c r="D189" t="s">
        <v>1773</v>
      </c>
      <c r="E189" t="str">
        <f>"377 01"</f>
        <v>377 01</v>
      </c>
      <c r="F189" t="s">
        <v>1774</v>
      </c>
      <c r="G189" t="s">
        <v>1058</v>
      </c>
      <c r="H189" t="s">
        <v>202</v>
      </c>
    </row>
    <row r="190" spans="1:9" x14ac:dyDescent="0.25">
      <c r="A190" s="4" t="str">
        <f>"1146"</f>
        <v>1146</v>
      </c>
      <c r="B190" s="4" t="s">
        <v>1775</v>
      </c>
      <c r="C190" t="s">
        <v>225</v>
      </c>
      <c r="D190" t="s">
        <v>1776</v>
      </c>
      <c r="E190" t="str">
        <f>"378 16"</f>
        <v>378 16</v>
      </c>
      <c r="F190" t="s">
        <v>1777</v>
      </c>
      <c r="G190" t="s">
        <v>1058</v>
      </c>
      <c r="H190" t="s">
        <v>202</v>
      </c>
    </row>
    <row r="191" spans="1:9" x14ac:dyDescent="0.25">
      <c r="A191" s="4" t="str">
        <f>"934"</f>
        <v>934</v>
      </c>
      <c r="B191" s="4" t="s">
        <v>1778</v>
      </c>
      <c r="C191" t="s">
        <v>1779</v>
      </c>
      <c r="D191" t="s">
        <v>1780</v>
      </c>
      <c r="E191" t="str">
        <f>"380 01"</f>
        <v>380 01</v>
      </c>
      <c r="F191" t="s">
        <v>1781</v>
      </c>
      <c r="G191" t="s">
        <v>1058</v>
      </c>
      <c r="H191" t="s">
        <v>202</v>
      </c>
      <c r="I191" t="s">
        <v>1782</v>
      </c>
    </row>
    <row r="192" spans="1:9" x14ac:dyDescent="0.25">
      <c r="A192" s="4" t="str">
        <f>"5464"</f>
        <v>5464</v>
      </c>
      <c r="B192" s="4" t="s">
        <v>1783</v>
      </c>
      <c r="C192" t="s">
        <v>225</v>
      </c>
      <c r="D192" t="s">
        <v>1784</v>
      </c>
      <c r="E192" t="str">
        <f>"378 10"</f>
        <v>378 10</v>
      </c>
      <c r="F192" t="s">
        <v>1785</v>
      </c>
      <c r="G192" t="s">
        <v>1058</v>
      </c>
      <c r="H192" t="s">
        <v>202</v>
      </c>
    </row>
    <row r="193" spans="1:9" x14ac:dyDescent="0.25">
      <c r="A193" s="4" t="str">
        <f>"836"</f>
        <v>836</v>
      </c>
      <c r="B193" s="4" t="s">
        <v>1786</v>
      </c>
      <c r="C193" t="s">
        <v>1787</v>
      </c>
      <c r="D193" t="s">
        <v>1788</v>
      </c>
      <c r="E193" t="str">
        <f>"378 04"</f>
        <v>378 04</v>
      </c>
      <c r="F193" t="s">
        <v>1789</v>
      </c>
      <c r="G193" t="s">
        <v>1058</v>
      </c>
      <c r="H193" t="s">
        <v>120</v>
      </c>
    </row>
    <row r="194" spans="1:9" x14ac:dyDescent="0.25">
      <c r="A194" s="4" t="str">
        <f>"5121"</f>
        <v>5121</v>
      </c>
      <c r="B194" s="4" t="s">
        <v>1790</v>
      </c>
      <c r="C194" t="s">
        <v>225</v>
      </c>
      <c r="D194" t="s">
        <v>1791</v>
      </c>
      <c r="E194" t="str">
        <f>"378 21"</f>
        <v>378 21</v>
      </c>
      <c r="F194" t="s">
        <v>1792</v>
      </c>
      <c r="G194" t="s">
        <v>1058</v>
      </c>
      <c r="H194" t="s">
        <v>202</v>
      </c>
    </row>
    <row r="195" spans="1:9" x14ac:dyDescent="0.25">
      <c r="A195" s="4" t="str">
        <f>"374"</f>
        <v>374</v>
      </c>
      <c r="B195" s="4" t="s">
        <v>1793</v>
      </c>
      <c r="C195" t="s">
        <v>225</v>
      </c>
      <c r="D195" t="s">
        <v>1794</v>
      </c>
      <c r="E195" t="str">
        <f>"378 42"</f>
        <v>378 42</v>
      </c>
      <c r="F195" t="s">
        <v>1795</v>
      </c>
      <c r="G195" t="s">
        <v>1058</v>
      </c>
      <c r="H195" t="s">
        <v>120</v>
      </c>
    </row>
    <row r="196" spans="1:9" x14ac:dyDescent="0.25">
      <c r="A196" s="4" t="str">
        <f>"3327"</f>
        <v>3327</v>
      </c>
      <c r="B196" s="4" t="s">
        <v>1803</v>
      </c>
      <c r="C196" t="s">
        <v>1804</v>
      </c>
      <c r="D196" t="s">
        <v>1805</v>
      </c>
      <c r="E196" t="str">
        <f>"586 01"</f>
        <v>586 01</v>
      </c>
      <c r="F196" t="s">
        <v>1806</v>
      </c>
      <c r="G196" t="s">
        <v>1509</v>
      </c>
      <c r="H196" t="s">
        <v>202</v>
      </c>
    </row>
    <row r="197" spans="1:9" x14ac:dyDescent="0.25">
      <c r="A197" s="4" t="str">
        <f>"5506"</f>
        <v>5506</v>
      </c>
      <c r="B197" s="4" t="s">
        <v>1807</v>
      </c>
      <c r="C197" t="s">
        <v>1808</v>
      </c>
      <c r="D197" t="s">
        <v>1809</v>
      </c>
      <c r="E197" t="str">
        <f>"588 13"</f>
        <v>588 13</v>
      </c>
      <c r="F197" t="s">
        <v>1810</v>
      </c>
      <c r="G197" t="s">
        <v>1509</v>
      </c>
      <c r="H197" t="s">
        <v>202</v>
      </c>
    </row>
    <row r="198" spans="1:9" x14ac:dyDescent="0.25">
      <c r="A198" s="4" t="str">
        <f>"2375"</f>
        <v>2375</v>
      </c>
      <c r="B198" s="4" t="s">
        <v>1831</v>
      </c>
      <c r="C198" t="s">
        <v>225</v>
      </c>
      <c r="D198" t="s">
        <v>1832</v>
      </c>
      <c r="E198" t="str">
        <f>"466 56"</f>
        <v>466 56</v>
      </c>
      <c r="F198" t="s">
        <v>1833</v>
      </c>
      <c r="G198" t="s">
        <v>1280</v>
      </c>
      <c r="H198" t="s">
        <v>202</v>
      </c>
    </row>
    <row r="199" spans="1:9" x14ac:dyDescent="0.25">
      <c r="A199" s="4" t="str">
        <f>"5056"</f>
        <v>5056</v>
      </c>
      <c r="B199" s="4" t="s">
        <v>1834</v>
      </c>
      <c r="C199" t="s">
        <v>1835</v>
      </c>
      <c r="D199" t="s">
        <v>1836</v>
      </c>
      <c r="E199" t="str">
        <f>"468 41"</f>
        <v>468 41</v>
      </c>
      <c r="F199" t="s">
        <v>1837</v>
      </c>
      <c r="G199" t="s">
        <v>1280</v>
      </c>
      <c r="H199" t="s">
        <v>202</v>
      </c>
    </row>
    <row r="200" spans="1:9" x14ac:dyDescent="0.25">
      <c r="A200" s="4" t="str">
        <f>"917"</f>
        <v>917</v>
      </c>
      <c r="B200" s="4" t="s">
        <v>1838</v>
      </c>
      <c r="C200" t="s">
        <v>225</v>
      </c>
      <c r="D200" t="s">
        <v>1839</v>
      </c>
      <c r="E200" t="str">
        <f>"468 02"</f>
        <v>468 02</v>
      </c>
      <c r="F200" t="s">
        <v>1840</v>
      </c>
      <c r="G200" t="s">
        <v>1280</v>
      </c>
      <c r="H200" t="s">
        <v>202</v>
      </c>
    </row>
    <row r="201" spans="1:9" x14ac:dyDescent="0.25">
      <c r="A201" s="4" t="str">
        <f>"84"</f>
        <v>84</v>
      </c>
      <c r="B201" s="4" t="s">
        <v>1841</v>
      </c>
      <c r="C201" t="s">
        <v>1842</v>
      </c>
      <c r="D201" t="s">
        <v>1843</v>
      </c>
      <c r="E201" t="str">
        <f>"734 11"</f>
        <v>734 11</v>
      </c>
      <c r="F201" t="s">
        <v>1844</v>
      </c>
      <c r="G201" t="s">
        <v>1004</v>
      </c>
      <c r="H201" t="s">
        <v>202</v>
      </c>
      <c r="I201" t="s">
        <v>1845</v>
      </c>
    </row>
    <row r="202" spans="1:9" x14ac:dyDescent="0.25">
      <c r="A202" s="4" t="str">
        <f>"1851"</f>
        <v>1851</v>
      </c>
      <c r="B202" s="4" t="s">
        <v>1846</v>
      </c>
      <c r="C202" t="s">
        <v>225</v>
      </c>
      <c r="D202" t="s">
        <v>1847</v>
      </c>
      <c r="E202" t="str">
        <f>"735 32"</f>
        <v>735 32</v>
      </c>
      <c r="F202" t="s">
        <v>1848</v>
      </c>
      <c r="G202" t="s">
        <v>1004</v>
      </c>
      <c r="H202" t="s">
        <v>202</v>
      </c>
    </row>
    <row r="203" spans="1:9" x14ac:dyDescent="0.25">
      <c r="A203" s="4" t="str">
        <f>"2851"</f>
        <v>2851</v>
      </c>
      <c r="B203" s="4" t="s">
        <v>1849</v>
      </c>
      <c r="C203" t="s">
        <v>1850</v>
      </c>
      <c r="D203" t="s">
        <v>1851</v>
      </c>
      <c r="E203" t="str">
        <f>"735 14"</f>
        <v>735 14</v>
      </c>
      <c r="F203" t="s">
        <v>1852</v>
      </c>
      <c r="G203" t="s">
        <v>1004</v>
      </c>
      <c r="H203" t="s">
        <v>202</v>
      </c>
    </row>
    <row r="204" spans="1:9" x14ac:dyDescent="0.25">
      <c r="A204" s="4" t="str">
        <f>"409"</f>
        <v>409</v>
      </c>
      <c r="B204" s="4" t="s">
        <v>1853</v>
      </c>
      <c r="C204" t="s">
        <v>1854</v>
      </c>
      <c r="D204" t="s">
        <v>1855</v>
      </c>
      <c r="E204" t="str">
        <f>"736 01"</f>
        <v>736 01</v>
      </c>
      <c r="F204" t="s">
        <v>1856</v>
      </c>
      <c r="G204" t="s">
        <v>1004</v>
      </c>
      <c r="H204" t="s">
        <v>202</v>
      </c>
    </row>
    <row r="205" spans="1:9" x14ac:dyDescent="0.25">
      <c r="A205" s="4" t="str">
        <f>"3035"</f>
        <v>3035</v>
      </c>
      <c r="B205" s="4" t="s">
        <v>1857</v>
      </c>
      <c r="C205" t="s">
        <v>1858</v>
      </c>
      <c r="D205" t="s">
        <v>1859</v>
      </c>
      <c r="E205" t="str">
        <f>"735 41"</f>
        <v>735 41</v>
      </c>
      <c r="F205" t="s">
        <v>1860</v>
      </c>
      <c r="G205" t="s">
        <v>1004</v>
      </c>
      <c r="H205" t="s">
        <v>202</v>
      </c>
    </row>
    <row r="206" spans="1:9" x14ac:dyDescent="0.25">
      <c r="A206" s="4" t="str">
        <f>"3544"</f>
        <v>3544</v>
      </c>
      <c r="B206" s="4" t="s">
        <v>1861</v>
      </c>
      <c r="C206" t="s">
        <v>1862</v>
      </c>
      <c r="D206" t="s">
        <v>1863</v>
      </c>
      <c r="E206" t="str">
        <f>"735 81"</f>
        <v>735 81</v>
      </c>
      <c r="F206" t="s">
        <v>1864</v>
      </c>
      <c r="G206" t="s">
        <v>1004</v>
      </c>
      <c r="H206" t="s">
        <v>202</v>
      </c>
    </row>
    <row r="207" spans="1:9" x14ac:dyDescent="0.25">
      <c r="A207" s="4" t="str">
        <f>"1352"</f>
        <v>1352</v>
      </c>
      <c r="B207" s="4" t="s">
        <v>1865</v>
      </c>
      <c r="C207" t="s">
        <v>1866</v>
      </c>
      <c r="D207" t="s">
        <v>1867</v>
      </c>
      <c r="E207" t="str">
        <f>"737 01"</f>
        <v>737 01</v>
      </c>
      <c r="F207" t="s">
        <v>1868</v>
      </c>
      <c r="G207" t="s">
        <v>1004</v>
      </c>
      <c r="H207" t="s">
        <v>202</v>
      </c>
    </row>
    <row r="208" spans="1:9" x14ac:dyDescent="0.25">
      <c r="A208" s="4" t="str">
        <f>"4095"</f>
        <v>4095</v>
      </c>
      <c r="B208" s="4" t="s">
        <v>1869</v>
      </c>
      <c r="C208" t="s">
        <v>1870</v>
      </c>
      <c r="D208" t="s">
        <v>1871</v>
      </c>
      <c r="E208" t="str">
        <f>"735 42"</f>
        <v>735 42</v>
      </c>
      <c r="F208" t="s">
        <v>1872</v>
      </c>
      <c r="G208" t="s">
        <v>1004</v>
      </c>
      <c r="H208" t="s">
        <v>120</v>
      </c>
    </row>
    <row r="209" spans="1:9" x14ac:dyDescent="0.25">
      <c r="A209" s="4" t="str">
        <f>"2490/2002"</f>
        <v>2490/2002</v>
      </c>
      <c r="B209" s="4" t="s">
        <v>1873</v>
      </c>
      <c r="C209" t="s">
        <v>1874</v>
      </c>
      <c r="D209" t="s">
        <v>1875</v>
      </c>
      <c r="E209" t="str">
        <f>"735 35"</f>
        <v>735 35</v>
      </c>
      <c r="F209" t="s">
        <v>1876</v>
      </c>
      <c r="G209" t="s">
        <v>1004</v>
      </c>
      <c r="H209" t="s">
        <v>120</v>
      </c>
      <c r="I209" t="s">
        <v>1877</v>
      </c>
    </row>
    <row r="210" spans="1:9" x14ac:dyDescent="0.25">
      <c r="A210" s="4" t="str">
        <f>"5963"</f>
        <v>5963</v>
      </c>
      <c r="B210" s="4" t="s">
        <v>1878</v>
      </c>
      <c r="C210" t="s">
        <v>1879</v>
      </c>
      <c r="D210" t="s">
        <v>1880</v>
      </c>
      <c r="E210" t="str">
        <f>"284 01"</f>
        <v>284 01</v>
      </c>
      <c r="F210" t="s">
        <v>1881</v>
      </c>
      <c r="G210" t="s">
        <v>201</v>
      </c>
      <c r="H210" t="s">
        <v>39</v>
      </c>
    </row>
    <row r="211" spans="1:9" x14ac:dyDescent="0.25">
      <c r="A211" s="4" t="str">
        <f>"2374"</f>
        <v>2374</v>
      </c>
      <c r="B211" s="4" t="s">
        <v>1882</v>
      </c>
      <c r="C211" t="s">
        <v>1883</v>
      </c>
      <c r="D211" t="s">
        <v>1884</v>
      </c>
      <c r="E211" t="str">
        <f>"284 44"</f>
        <v>284 44</v>
      </c>
      <c r="F211" t="s">
        <v>1881</v>
      </c>
      <c r="G211" t="s">
        <v>201</v>
      </c>
      <c r="H211" t="s">
        <v>202</v>
      </c>
    </row>
    <row r="212" spans="1:9" x14ac:dyDescent="0.25">
      <c r="A212" s="4" t="str">
        <f>"3038"</f>
        <v>3038</v>
      </c>
      <c r="B212" s="4" t="s">
        <v>1912</v>
      </c>
      <c r="C212" t="s">
        <v>1913</v>
      </c>
      <c r="D212" t="s">
        <v>1914</v>
      </c>
      <c r="E212" t="str">
        <f>"286 01"</f>
        <v>286 01</v>
      </c>
      <c r="F212" t="s">
        <v>1915</v>
      </c>
      <c r="G212" t="s">
        <v>201</v>
      </c>
      <c r="H212" t="s">
        <v>202</v>
      </c>
    </row>
    <row r="213" spans="1:9" x14ac:dyDescent="0.25">
      <c r="A213" s="4" t="str">
        <f>"3882"</f>
        <v>3882</v>
      </c>
      <c r="B213" s="4" t="s">
        <v>1920</v>
      </c>
      <c r="C213" t="s">
        <v>1921</v>
      </c>
      <c r="D213" t="s">
        <v>1922</v>
      </c>
      <c r="E213" t="str">
        <f>"285 71"</f>
        <v>285 71</v>
      </c>
      <c r="F213" t="s">
        <v>1923</v>
      </c>
      <c r="G213" t="s">
        <v>201</v>
      </c>
      <c r="H213" t="s">
        <v>120</v>
      </c>
    </row>
    <row r="214" spans="1:9" x14ac:dyDescent="0.25">
      <c r="A214" s="4" t="str">
        <f>"1668"</f>
        <v>1668</v>
      </c>
      <c r="B214" s="4" t="s">
        <v>2107</v>
      </c>
      <c r="C214" t="s">
        <v>2108</v>
      </c>
      <c r="D214" t="s">
        <v>2109</v>
      </c>
      <c r="E214" t="str">
        <f>"272 01"</f>
        <v>272 01</v>
      </c>
      <c r="F214" t="s">
        <v>2110</v>
      </c>
      <c r="G214" t="s">
        <v>201</v>
      </c>
      <c r="H214" t="s">
        <v>115</v>
      </c>
    </row>
    <row r="215" spans="1:9" x14ac:dyDescent="0.25">
      <c r="A215" s="4" t="str">
        <f>"3150"</f>
        <v>3150</v>
      </c>
      <c r="B215" s="4" t="s">
        <v>2111</v>
      </c>
      <c r="C215" t="s">
        <v>2112</v>
      </c>
      <c r="D215" t="s">
        <v>2113</v>
      </c>
      <c r="E215" t="str">
        <f>"272 01"</f>
        <v>272 01</v>
      </c>
      <c r="F215" t="s">
        <v>2110</v>
      </c>
      <c r="G215" t="s">
        <v>201</v>
      </c>
      <c r="H215" t="s">
        <v>705</v>
      </c>
    </row>
    <row r="216" spans="1:9" x14ac:dyDescent="0.25">
      <c r="A216" s="4" t="str">
        <f>"2346"</f>
        <v>2346</v>
      </c>
      <c r="B216" s="4" t="s">
        <v>2114</v>
      </c>
      <c r="C216" t="s">
        <v>2115</v>
      </c>
      <c r="D216" t="s">
        <v>2116</v>
      </c>
      <c r="E216" t="str">
        <f>"274 01"</f>
        <v>274 01</v>
      </c>
      <c r="F216" t="s">
        <v>2117</v>
      </c>
      <c r="G216" t="s">
        <v>201</v>
      </c>
      <c r="H216" t="s">
        <v>202</v>
      </c>
    </row>
    <row r="217" spans="1:9" x14ac:dyDescent="0.25">
      <c r="A217" s="4" t="str">
        <f>"900"</f>
        <v>900</v>
      </c>
      <c r="B217" s="4" t="s">
        <v>2125</v>
      </c>
      <c r="C217" t="s">
        <v>2126</v>
      </c>
      <c r="D217" t="s">
        <v>2127</v>
      </c>
      <c r="E217" t="str">
        <f>"767 01"</f>
        <v>767 01</v>
      </c>
      <c r="F217" t="s">
        <v>2128</v>
      </c>
      <c r="G217" t="s">
        <v>2129</v>
      </c>
      <c r="H217" t="s">
        <v>202</v>
      </c>
      <c r="I217" t="s">
        <v>2130</v>
      </c>
    </row>
    <row r="218" spans="1:9" x14ac:dyDescent="0.25">
      <c r="A218" s="4" t="str">
        <f>"1681"</f>
        <v>1681</v>
      </c>
      <c r="B218" s="4" t="s">
        <v>2131</v>
      </c>
      <c r="C218" t="s">
        <v>2132</v>
      </c>
      <c r="D218" t="s">
        <v>2133</v>
      </c>
      <c r="E218" t="str">
        <f>"767 01"</f>
        <v>767 01</v>
      </c>
      <c r="F218" t="s">
        <v>2128</v>
      </c>
      <c r="G218" t="s">
        <v>2129</v>
      </c>
      <c r="H218" t="s">
        <v>111</v>
      </c>
    </row>
    <row r="219" spans="1:9" x14ac:dyDescent="0.25">
      <c r="A219" s="4" t="str">
        <f>"1451"</f>
        <v>1451</v>
      </c>
      <c r="B219" s="4" t="s">
        <v>2134</v>
      </c>
      <c r="C219" t="s">
        <v>2135</v>
      </c>
      <c r="D219" t="s">
        <v>2136</v>
      </c>
      <c r="E219" t="str">
        <f>"768 61"</f>
        <v>768 61</v>
      </c>
      <c r="F219" t="s">
        <v>2137</v>
      </c>
      <c r="G219" t="s">
        <v>2129</v>
      </c>
      <c r="H219" t="s">
        <v>202</v>
      </c>
    </row>
    <row r="220" spans="1:9" x14ac:dyDescent="0.25">
      <c r="A220" s="4" t="str">
        <f>"338"</f>
        <v>338</v>
      </c>
      <c r="B220" s="4" t="s">
        <v>2138</v>
      </c>
      <c r="C220" t="s">
        <v>2139</v>
      </c>
      <c r="D220" t="s">
        <v>2140</v>
      </c>
      <c r="E220" t="str">
        <f>"768 33"</f>
        <v>768 33</v>
      </c>
      <c r="F220" t="s">
        <v>2141</v>
      </c>
      <c r="G220" t="s">
        <v>2129</v>
      </c>
      <c r="H220" t="s">
        <v>202</v>
      </c>
    </row>
    <row r="221" spans="1:9" x14ac:dyDescent="0.25">
      <c r="A221" s="4" t="str">
        <f>"1908"</f>
        <v>1908</v>
      </c>
      <c r="B221" s="4" t="s">
        <v>2142</v>
      </c>
      <c r="C221" t="s">
        <v>2143</v>
      </c>
      <c r="D221" t="s">
        <v>2144</v>
      </c>
      <c r="E221" t="str">
        <f>"768 05"</f>
        <v>768 05</v>
      </c>
      <c r="F221" t="s">
        <v>2145</v>
      </c>
      <c r="G221" t="s">
        <v>2129</v>
      </c>
      <c r="H221" t="s">
        <v>202</v>
      </c>
    </row>
    <row r="222" spans="1:9" x14ac:dyDescent="0.25">
      <c r="A222" s="4" t="str">
        <f>"1495"</f>
        <v>1495</v>
      </c>
      <c r="B222" s="4" t="s">
        <v>2146</v>
      </c>
      <c r="C222" t="s">
        <v>2147</v>
      </c>
      <c r="D222" t="s">
        <v>2148</v>
      </c>
      <c r="E222" t="str">
        <f>"768 24"</f>
        <v>768 24</v>
      </c>
      <c r="F222" t="s">
        <v>2149</v>
      </c>
      <c r="G222" t="s">
        <v>2129</v>
      </c>
      <c r="H222" t="s">
        <v>202</v>
      </c>
    </row>
    <row r="223" spans="1:9" x14ac:dyDescent="0.25">
      <c r="A223" s="4" t="str">
        <f>"707"</f>
        <v>707</v>
      </c>
      <c r="B223" s="4" t="s">
        <v>2150</v>
      </c>
      <c r="C223" t="s">
        <v>225</v>
      </c>
      <c r="D223" t="s">
        <v>2151</v>
      </c>
      <c r="E223" t="str">
        <f>"280 00"</f>
        <v>280 00</v>
      </c>
      <c r="F223" t="s">
        <v>2152</v>
      </c>
      <c r="G223" t="s">
        <v>201</v>
      </c>
      <c r="H223" t="s">
        <v>202</v>
      </c>
    </row>
    <row r="224" spans="1:9" x14ac:dyDescent="0.25">
      <c r="A224" s="4" t="str">
        <f>"311"</f>
        <v>311</v>
      </c>
      <c r="B224" s="4" t="s">
        <v>2173</v>
      </c>
      <c r="C224" t="s">
        <v>225</v>
      </c>
      <c r="D224" t="s">
        <v>2174</v>
      </c>
      <c r="E224" t="str">
        <f>"282 01"</f>
        <v>282 01</v>
      </c>
      <c r="F224" t="s">
        <v>2175</v>
      </c>
      <c r="G224" t="s">
        <v>201</v>
      </c>
      <c r="H224" t="s">
        <v>202</v>
      </c>
    </row>
    <row r="225" spans="1:9" x14ac:dyDescent="0.25">
      <c r="A225" s="4" t="str">
        <f>"2888"</f>
        <v>2888</v>
      </c>
      <c r="B225" s="4" t="s">
        <v>2176</v>
      </c>
      <c r="C225" t="s">
        <v>2177</v>
      </c>
      <c r="D225" t="s">
        <v>2178</v>
      </c>
      <c r="E225" t="str">
        <f>"289 11"</f>
        <v>289 11</v>
      </c>
      <c r="F225" t="s">
        <v>2179</v>
      </c>
      <c r="G225" t="s">
        <v>201</v>
      </c>
      <c r="H225" t="s">
        <v>202</v>
      </c>
    </row>
    <row r="226" spans="1:9" x14ac:dyDescent="0.25">
      <c r="A226" s="4" t="str">
        <f>"3039"</f>
        <v>3039</v>
      </c>
      <c r="B226" s="4" t="s">
        <v>2372</v>
      </c>
      <c r="C226" t="s">
        <v>225</v>
      </c>
      <c r="D226" t="s">
        <v>2373</v>
      </c>
      <c r="E226" t="str">
        <f>"339 01"</f>
        <v>339 01</v>
      </c>
      <c r="F226" t="s">
        <v>2374</v>
      </c>
      <c r="G226" t="s">
        <v>1397</v>
      </c>
      <c r="H226" t="s">
        <v>202</v>
      </c>
    </row>
    <row r="227" spans="1:9" x14ac:dyDescent="0.25">
      <c r="A227" s="4" t="str">
        <f>"2373"</f>
        <v>2373</v>
      </c>
      <c r="B227" s="4" t="s">
        <v>2375</v>
      </c>
      <c r="C227" t="s">
        <v>2376</v>
      </c>
      <c r="D227" t="s">
        <v>2377</v>
      </c>
      <c r="E227" t="str">
        <f>"342 01"</f>
        <v>342 01</v>
      </c>
      <c r="F227" t="s">
        <v>2378</v>
      </c>
      <c r="G227" t="s">
        <v>1397</v>
      </c>
      <c r="H227" t="s">
        <v>202</v>
      </c>
    </row>
    <row r="228" spans="1:9" x14ac:dyDescent="0.25">
      <c r="A228" s="4" t="str">
        <f>"2019"</f>
        <v>2019</v>
      </c>
      <c r="B228" s="4" t="s">
        <v>2379</v>
      </c>
      <c r="C228" t="s">
        <v>2380</v>
      </c>
      <c r="D228" t="s">
        <v>2381</v>
      </c>
      <c r="E228" t="str">
        <f>"341 01"</f>
        <v>341 01</v>
      </c>
      <c r="F228" t="s">
        <v>2382</v>
      </c>
      <c r="G228" t="s">
        <v>1397</v>
      </c>
      <c r="H228" t="s">
        <v>202</v>
      </c>
    </row>
    <row r="229" spans="1:9" x14ac:dyDescent="0.25">
      <c r="A229" s="4" t="str">
        <f>"916"</f>
        <v>916</v>
      </c>
      <c r="B229" s="4" t="s">
        <v>2383</v>
      </c>
      <c r="C229" t="s">
        <v>2384</v>
      </c>
      <c r="D229" t="s">
        <v>2385</v>
      </c>
      <c r="E229" t="str">
        <f>"341 01"</f>
        <v>341 01</v>
      </c>
      <c r="F229" t="s">
        <v>2386</v>
      </c>
      <c r="G229" t="s">
        <v>1397</v>
      </c>
      <c r="H229" t="s">
        <v>120</v>
      </c>
    </row>
    <row r="230" spans="1:9" x14ac:dyDescent="0.25">
      <c r="A230" s="4" t="str">
        <f>"1894"</f>
        <v>1894</v>
      </c>
      <c r="B230" s="4" t="s">
        <v>2387</v>
      </c>
      <c r="C230" t="s">
        <v>2388</v>
      </c>
      <c r="D230" t="s">
        <v>2389</v>
      </c>
      <c r="E230" t="str">
        <f>"360 06"</f>
        <v>360 06</v>
      </c>
      <c r="F230" t="s">
        <v>2390</v>
      </c>
      <c r="G230" t="s">
        <v>1144</v>
      </c>
      <c r="H230" t="s">
        <v>202</v>
      </c>
    </row>
    <row r="231" spans="1:9" x14ac:dyDescent="0.25">
      <c r="A231" s="4" t="str">
        <f>"6232"</f>
        <v>6232</v>
      </c>
      <c r="B231" s="4" t="s">
        <v>2391</v>
      </c>
      <c r="C231" t="s">
        <v>2392</v>
      </c>
      <c r="D231" t="s">
        <v>2393</v>
      </c>
      <c r="E231" t="str">
        <f>"360 01"</f>
        <v>360 01</v>
      </c>
      <c r="F231" t="s">
        <v>2390</v>
      </c>
      <c r="G231" t="s">
        <v>1144</v>
      </c>
      <c r="H231" t="s">
        <v>202</v>
      </c>
      <c r="I231" t="s">
        <v>2394</v>
      </c>
    </row>
    <row r="232" spans="1:9" x14ac:dyDescent="0.25">
      <c r="A232" s="4" t="str">
        <f>"265"</f>
        <v>265</v>
      </c>
      <c r="B232" s="4" t="s">
        <v>2395</v>
      </c>
      <c r="C232" t="s">
        <v>2396</v>
      </c>
      <c r="D232" t="s">
        <v>2397</v>
      </c>
      <c r="E232" t="str">
        <f>"363 01"</f>
        <v>363 01</v>
      </c>
      <c r="F232" t="s">
        <v>2398</v>
      </c>
      <c r="G232" t="s">
        <v>1144</v>
      </c>
      <c r="H232" t="s">
        <v>202</v>
      </c>
    </row>
    <row r="233" spans="1:9" x14ac:dyDescent="0.25">
      <c r="A233" s="4" t="str">
        <f>"121"</f>
        <v>121</v>
      </c>
      <c r="B233" s="4" t="s">
        <v>2399</v>
      </c>
      <c r="C233" t="s">
        <v>2400</v>
      </c>
      <c r="D233" t="s">
        <v>2401</v>
      </c>
      <c r="E233" t="str">
        <f>"364 71"</f>
        <v>364 71</v>
      </c>
      <c r="F233" t="s">
        <v>2402</v>
      </c>
      <c r="G233" t="s">
        <v>1144</v>
      </c>
      <c r="H233" t="s">
        <v>202</v>
      </c>
    </row>
    <row r="234" spans="1:9" x14ac:dyDescent="0.25">
      <c r="A234" s="4" t="str">
        <f>"1450"</f>
        <v>1450</v>
      </c>
      <c r="B234" s="4" t="s">
        <v>2403</v>
      </c>
      <c r="C234" t="s">
        <v>2404</v>
      </c>
      <c r="D234" t="s">
        <v>2405</v>
      </c>
      <c r="E234" t="str">
        <f>"362 21"</f>
        <v>362 21</v>
      </c>
      <c r="F234" t="s">
        <v>2406</v>
      </c>
      <c r="G234" t="s">
        <v>1144</v>
      </c>
      <c r="H234" t="s">
        <v>202</v>
      </c>
    </row>
    <row r="235" spans="1:9" x14ac:dyDescent="0.25">
      <c r="A235" s="4" t="str">
        <f>"282"</f>
        <v>282</v>
      </c>
      <c r="B235" s="4" t="s">
        <v>2407</v>
      </c>
      <c r="C235" t="s">
        <v>2408</v>
      </c>
      <c r="D235" t="s">
        <v>2409</v>
      </c>
      <c r="E235" t="str">
        <f>"362 25"</f>
        <v>362 25</v>
      </c>
      <c r="F235" t="s">
        <v>2410</v>
      </c>
      <c r="G235" t="s">
        <v>1144</v>
      </c>
      <c r="H235" t="s">
        <v>202</v>
      </c>
    </row>
    <row r="236" spans="1:9" x14ac:dyDescent="0.25">
      <c r="A236" s="4" t="str">
        <f>"1797"</f>
        <v>1797</v>
      </c>
      <c r="B236" s="4" t="s">
        <v>2411</v>
      </c>
      <c r="C236" t="s">
        <v>2412</v>
      </c>
      <c r="D236" t="s">
        <v>2413</v>
      </c>
      <c r="E236" t="str">
        <f>"460 01"</f>
        <v>460 01</v>
      </c>
      <c r="F236" t="s">
        <v>2414</v>
      </c>
      <c r="G236" t="s">
        <v>1280</v>
      </c>
      <c r="H236" t="s">
        <v>115</v>
      </c>
    </row>
    <row r="237" spans="1:9" x14ac:dyDescent="0.25">
      <c r="A237" s="4" t="str">
        <f>"2926"</f>
        <v>2926</v>
      </c>
      <c r="B237" s="4" t="s">
        <v>2415</v>
      </c>
      <c r="C237" t="s">
        <v>2416</v>
      </c>
      <c r="D237" t="s">
        <v>2417</v>
      </c>
      <c r="E237" t="str">
        <f>"461 17"</f>
        <v>461 17</v>
      </c>
      <c r="F237" t="s">
        <v>2414</v>
      </c>
      <c r="G237" t="s">
        <v>1280</v>
      </c>
      <c r="H237" t="s">
        <v>21</v>
      </c>
    </row>
    <row r="238" spans="1:9" x14ac:dyDescent="0.25">
      <c r="A238" s="4" t="str">
        <f>"3657"</f>
        <v>3657</v>
      </c>
      <c r="B238" s="4" t="s">
        <v>2418</v>
      </c>
      <c r="C238" t="s">
        <v>2419</v>
      </c>
      <c r="D238" t="s">
        <v>2420</v>
      </c>
      <c r="E238" t="str">
        <f>"463 43"</f>
        <v>463 43</v>
      </c>
      <c r="F238" t="s">
        <v>2421</v>
      </c>
      <c r="G238" t="s">
        <v>1280</v>
      </c>
      <c r="H238" t="s">
        <v>202</v>
      </c>
    </row>
    <row r="239" spans="1:9" x14ac:dyDescent="0.25">
      <c r="A239" s="4" t="str">
        <f>"2431"</f>
        <v>2431</v>
      </c>
      <c r="B239" s="4" t="s">
        <v>2422</v>
      </c>
      <c r="C239" t="s">
        <v>2423</v>
      </c>
      <c r="D239" t="s">
        <v>2424</v>
      </c>
      <c r="E239" t="str">
        <f>"463 62"</f>
        <v>463 62</v>
      </c>
      <c r="F239" t="s">
        <v>2425</v>
      </c>
      <c r="G239" t="s">
        <v>1280</v>
      </c>
      <c r="H239" t="s">
        <v>202</v>
      </c>
    </row>
    <row r="240" spans="1:9" x14ac:dyDescent="0.25">
      <c r="A240" s="4" t="str">
        <f>"5539"</f>
        <v>5539</v>
      </c>
      <c r="B240" s="4" t="s">
        <v>2426</v>
      </c>
      <c r="C240" t="s">
        <v>2427</v>
      </c>
      <c r="D240" t="s">
        <v>2428</v>
      </c>
      <c r="E240" t="str">
        <f>"463 11"</f>
        <v>463 11</v>
      </c>
      <c r="F240" t="s">
        <v>2429</v>
      </c>
      <c r="G240" t="s">
        <v>1280</v>
      </c>
      <c r="H240" t="s">
        <v>120</v>
      </c>
    </row>
    <row r="241" spans="1:8" x14ac:dyDescent="0.25">
      <c r="A241" s="4" t="str">
        <f>"5238"</f>
        <v>5238</v>
      </c>
      <c r="B241" s="4" t="s">
        <v>2430</v>
      </c>
      <c r="C241" t="s">
        <v>2431</v>
      </c>
      <c r="D241" t="s">
        <v>2432</v>
      </c>
      <c r="E241" t="str">
        <f>"463 12"</f>
        <v>463 12</v>
      </c>
      <c r="F241" t="s">
        <v>2433</v>
      </c>
      <c r="G241" t="s">
        <v>1280</v>
      </c>
      <c r="H241" t="s">
        <v>120</v>
      </c>
    </row>
    <row r="242" spans="1:8" x14ac:dyDescent="0.25">
      <c r="A242" s="4" t="str">
        <f>"2292"</f>
        <v>2292</v>
      </c>
      <c r="B242" s="4" t="s">
        <v>2434</v>
      </c>
      <c r="C242" t="s">
        <v>2435</v>
      </c>
      <c r="D242" t="s">
        <v>2436</v>
      </c>
      <c r="E242" t="str">
        <f>"440 01"</f>
        <v>440 01</v>
      </c>
      <c r="F242" t="s">
        <v>2437</v>
      </c>
      <c r="G242" t="s">
        <v>1311</v>
      </c>
      <c r="H242" t="s">
        <v>202</v>
      </c>
    </row>
    <row r="243" spans="1:8" x14ac:dyDescent="0.25">
      <c r="A243" s="4" t="str">
        <f>"1370"</f>
        <v>1370</v>
      </c>
      <c r="B243" s="4" t="s">
        <v>2438</v>
      </c>
      <c r="C243" t="s">
        <v>2439</v>
      </c>
      <c r="D243" t="s">
        <v>2440</v>
      </c>
      <c r="E243" t="str">
        <f>"438 11"</f>
        <v>438 11</v>
      </c>
      <c r="F243" t="s">
        <v>2441</v>
      </c>
      <c r="G243" t="s">
        <v>1311</v>
      </c>
      <c r="H243" t="s">
        <v>202</v>
      </c>
    </row>
    <row r="244" spans="1:8" x14ac:dyDescent="0.25">
      <c r="A244" s="4" t="str">
        <f>"2190"</f>
        <v>2190</v>
      </c>
      <c r="B244" s="4" t="s">
        <v>2442</v>
      </c>
      <c r="C244" t="s">
        <v>2443</v>
      </c>
      <c r="D244" t="s">
        <v>2444</v>
      </c>
      <c r="E244" t="str">
        <f>"412 01"</f>
        <v>412 01</v>
      </c>
      <c r="F244" t="s">
        <v>2445</v>
      </c>
      <c r="G244" t="s">
        <v>1311</v>
      </c>
      <c r="H244" t="s">
        <v>202</v>
      </c>
    </row>
    <row r="245" spans="1:8" x14ac:dyDescent="0.25">
      <c r="A245" s="4" t="str">
        <f>"3427"</f>
        <v>3427</v>
      </c>
      <c r="B245" s="4" t="s">
        <v>2446</v>
      </c>
      <c r="C245" t="s">
        <v>2447</v>
      </c>
      <c r="D245" t="s">
        <v>2448</v>
      </c>
      <c r="E245" t="str">
        <f>"413 01"</f>
        <v>413 01</v>
      </c>
      <c r="F245" t="s">
        <v>2449</v>
      </c>
      <c r="G245" t="s">
        <v>1311</v>
      </c>
      <c r="H245" t="s">
        <v>202</v>
      </c>
    </row>
    <row r="246" spans="1:8" x14ac:dyDescent="0.25">
      <c r="A246" s="4" t="str">
        <f>"2531"</f>
        <v>2531</v>
      </c>
      <c r="B246" s="4" t="s">
        <v>2450</v>
      </c>
      <c r="C246" t="s">
        <v>225</v>
      </c>
      <c r="D246" t="s">
        <v>2451</v>
      </c>
      <c r="E246" t="str">
        <f>"410 02"</f>
        <v>410 02</v>
      </c>
      <c r="F246" t="s">
        <v>2452</v>
      </c>
      <c r="G246" t="s">
        <v>1311</v>
      </c>
      <c r="H246" t="s">
        <v>202</v>
      </c>
    </row>
    <row r="247" spans="1:8" x14ac:dyDescent="0.25">
      <c r="A247" s="4" t="str">
        <f>"3060"</f>
        <v>3060</v>
      </c>
      <c r="B247" s="4" t="s">
        <v>2453</v>
      </c>
      <c r="C247" t="s">
        <v>2454</v>
      </c>
      <c r="D247" t="s">
        <v>2455</v>
      </c>
      <c r="E247" t="str">
        <f>"411 08"</f>
        <v>411 08</v>
      </c>
      <c r="F247" t="s">
        <v>2456</v>
      </c>
      <c r="G247" t="s">
        <v>1311</v>
      </c>
      <c r="H247" t="s">
        <v>202</v>
      </c>
    </row>
    <row r="248" spans="1:8" x14ac:dyDescent="0.25">
      <c r="A248" s="4" t="str">
        <f>"838"</f>
        <v>838</v>
      </c>
      <c r="B248" s="4" t="s">
        <v>2457</v>
      </c>
      <c r="C248" t="s">
        <v>2458</v>
      </c>
      <c r="D248" t="s">
        <v>2459</v>
      </c>
      <c r="E248" t="str">
        <f>"293 01"</f>
        <v>293 01</v>
      </c>
      <c r="F248" t="s">
        <v>2460</v>
      </c>
      <c r="G248" t="s">
        <v>201</v>
      </c>
      <c r="H248" t="s">
        <v>202</v>
      </c>
    </row>
    <row r="249" spans="1:8" x14ac:dyDescent="0.25">
      <c r="A249" s="4" t="str">
        <f>"823"</f>
        <v>823</v>
      </c>
      <c r="B249" s="4" t="s">
        <v>2473</v>
      </c>
      <c r="C249" t="s">
        <v>2474</v>
      </c>
      <c r="D249" t="s">
        <v>2475</v>
      </c>
      <c r="E249" t="str">
        <f>"294 71"</f>
        <v>294 71</v>
      </c>
      <c r="F249" t="s">
        <v>2476</v>
      </c>
      <c r="G249" t="s">
        <v>201</v>
      </c>
      <c r="H249" t="s">
        <v>202</v>
      </c>
    </row>
    <row r="250" spans="1:8" x14ac:dyDescent="0.25">
      <c r="A250" s="4" t="str">
        <f>"105"</f>
        <v>105</v>
      </c>
      <c r="B250" s="4" t="s">
        <v>2477</v>
      </c>
      <c r="C250" t="s">
        <v>225</v>
      </c>
      <c r="D250" t="s">
        <v>2478</v>
      </c>
      <c r="E250" t="str">
        <f>"294 41"</f>
        <v>294 41</v>
      </c>
      <c r="F250" t="s">
        <v>2479</v>
      </c>
      <c r="G250" t="s">
        <v>201</v>
      </c>
      <c r="H250" t="s">
        <v>202</v>
      </c>
    </row>
    <row r="251" spans="1:8" x14ac:dyDescent="0.25">
      <c r="A251" s="4" t="str">
        <f>"2072"</f>
        <v>2072</v>
      </c>
      <c r="B251" s="4" t="s">
        <v>2742</v>
      </c>
      <c r="C251" t="s">
        <v>225</v>
      </c>
      <c r="D251" t="s">
        <v>2743</v>
      </c>
      <c r="E251" t="str">
        <f>"278 01"</f>
        <v>278 01</v>
      </c>
      <c r="F251" t="s">
        <v>2744</v>
      </c>
      <c r="G251" t="s">
        <v>201</v>
      </c>
      <c r="H251" t="s">
        <v>202</v>
      </c>
    </row>
    <row r="252" spans="1:8" x14ac:dyDescent="0.25">
      <c r="A252" s="4" t="str">
        <f>"2542"</f>
        <v>2542</v>
      </c>
      <c r="B252" s="4" t="s">
        <v>2745</v>
      </c>
      <c r="C252" t="s">
        <v>2746</v>
      </c>
      <c r="D252" t="s">
        <v>2747</v>
      </c>
      <c r="E252" t="str">
        <f>"277 11"</f>
        <v>277 11</v>
      </c>
      <c r="F252" t="s">
        <v>2748</v>
      </c>
      <c r="G252" t="s">
        <v>201</v>
      </c>
      <c r="H252" t="s">
        <v>202</v>
      </c>
    </row>
    <row r="253" spans="1:8" x14ac:dyDescent="0.25">
      <c r="A253" s="4" t="str">
        <f>"462"</f>
        <v>462</v>
      </c>
      <c r="B253" s="4" t="s">
        <v>2863</v>
      </c>
      <c r="C253" t="s">
        <v>2864</v>
      </c>
      <c r="D253" t="s">
        <v>2865</v>
      </c>
      <c r="E253" t="str">
        <f>"434 21"</f>
        <v>434 21</v>
      </c>
      <c r="F253" t="s">
        <v>2866</v>
      </c>
      <c r="G253" t="s">
        <v>1311</v>
      </c>
      <c r="H253" t="s">
        <v>202</v>
      </c>
    </row>
    <row r="254" spans="1:8" x14ac:dyDescent="0.25">
      <c r="A254" s="4" t="str">
        <f>"921"</f>
        <v>921</v>
      </c>
      <c r="B254" s="4" t="s">
        <v>2871</v>
      </c>
      <c r="C254" t="s">
        <v>2872</v>
      </c>
      <c r="D254" t="s">
        <v>2873</v>
      </c>
      <c r="E254" t="str">
        <f>"436 01"</f>
        <v>436 01</v>
      </c>
      <c r="F254" t="s">
        <v>2874</v>
      </c>
      <c r="G254" t="s">
        <v>1311</v>
      </c>
      <c r="H254" t="s">
        <v>202</v>
      </c>
    </row>
    <row r="255" spans="1:8" x14ac:dyDescent="0.25">
      <c r="A255" s="4" t="str">
        <f>"2924"</f>
        <v>2924</v>
      </c>
      <c r="B255" s="4" t="s">
        <v>2875</v>
      </c>
      <c r="C255" t="s">
        <v>2876</v>
      </c>
      <c r="D255" t="s">
        <v>2877</v>
      </c>
      <c r="E255" t="str">
        <f>"547 01"</f>
        <v>547 01</v>
      </c>
      <c r="F255" t="s">
        <v>2878</v>
      </c>
      <c r="G255" t="s">
        <v>1536</v>
      </c>
      <c r="H255" t="s">
        <v>202</v>
      </c>
    </row>
    <row r="256" spans="1:8" x14ac:dyDescent="0.25">
      <c r="A256" s="4" t="str">
        <f>"429"</f>
        <v>429</v>
      </c>
      <c r="B256" s="4" t="s">
        <v>2883</v>
      </c>
      <c r="C256" t="s">
        <v>2884</v>
      </c>
      <c r="D256" t="s">
        <v>2885</v>
      </c>
      <c r="E256" t="str">
        <f>"551 01"</f>
        <v>551 01</v>
      </c>
      <c r="F256" t="s">
        <v>2886</v>
      </c>
      <c r="G256" t="s">
        <v>1536</v>
      </c>
      <c r="H256" t="s">
        <v>202</v>
      </c>
    </row>
    <row r="257" spans="1:9" x14ac:dyDescent="0.25">
      <c r="A257" s="4" t="str">
        <f>"2848/2002"</f>
        <v>2848/2002</v>
      </c>
      <c r="B257" s="4" t="s">
        <v>2887</v>
      </c>
      <c r="C257" t="s">
        <v>2888</v>
      </c>
      <c r="D257" t="s">
        <v>2889</v>
      </c>
      <c r="E257" t="str">
        <f>"549 41"</f>
        <v>549 41</v>
      </c>
      <c r="F257" t="s">
        <v>2890</v>
      </c>
      <c r="G257" t="s">
        <v>1536</v>
      </c>
      <c r="H257" t="s">
        <v>202</v>
      </c>
    </row>
    <row r="258" spans="1:9" x14ac:dyDescent="0.25">
      <c r="A258" s="4" t="str">
        <f>"2469"</f>
        <v>2469</v>
      </c>
      <c r="B258" s="4" t="s">
        <v>2891</v>
      </c>
      <c r="C258" t="s">
        <v>2892</v>
      </c>
      <c r="D258" t="s">
        <v>2893</v>
      </c>
      <c r="E258" t="str">
        <f>"549 54"</f>
        <v>549 54</v>
      </c>
      <c r="F258" t="s">
        <v>2894</v>
      </c>
      <c r="G258" t="s">
        <v>1536</v>
      </c>
      <c r="H258" t="s">
        <v>202</v>
      </c>
    </row>
    <row r="259" spans="1:9" x14ac:dyDescent="0.25">
      <c r="A259" s="4" t="str">
        <f>"2759"</f>
        <v>2759</v>
      </c>
      <c r="B259" s="4" t="s">
        <v>2899</v>
      </c>
      <c r="C259" t="s">
        <v>2900</v>
      </c>
      <c r="D259" t="s">
        <v>2901</v>
      </c>
      <c r="E259" t="str">
        <f>"549 01"</f>
        <v>549 01</v>
      </c>
      <c r="F259" t="s">
        <v>2902</v>
      </c>
      <c r="G259" t="s">
        <v>1536</v>
      </c>
      <c r="H259" t="s">
        <v>202</v>
      </c>
    </row>
    <row r="260" spans="1:9" x14ac:dyDescent="0.25">
      <c r="A260" s="4" t="str">
        <f>"1788/2002"</f>
        <v>1788/2002</v>
      </c>
      <c r="B260" s="4" t="s">
        <v>2903</v>
      </c>
      <c r="C260" t="s">
        <v>2904</v>
      </c>
      <c r="D260" t="s">
        <v>2905</v>
      </c>
      <c r="E260" t="str">
        <f>"550 01"</f>
        <v>550 01</v>
      </c>
      <c r="F260" t="s">
        <v>2906</v>
      </c>
      <c r="G260" t="s">
        <v>1536</v>
      </c>
      <c r="H260" t="s">
        <v>202</v>
      </c>
    </row>
    <row r="261" spans="1:9" x14ac:dyDescent="0.25">
      <c r="A261" s="4" t="str">
        <f>"460"</f>
        <v>460</v>
      </c>
      <c r="B261" s="4" t="s">
        <v>2907</v>
      </c>
      <c r="C261" t="s">
        <v>2908</v>
      </c>
      <c r="D261" t="s">
        <v>2909</v>
      </c>
      <c r="E261" t="str">
        <f>"549 31"</f>
        <v>549 31</v>
      </c>
      <c r="F261" t="s">
        <v>2910</v>
      </c>
      <c r="G261" t="s">
        <v>1536</v>
      </c>
      <c r="H261" t="s">
        <v>202</v>
      </c>
    </row>
    <row r="262" spans="1:9" x14ac:dyDescent="0.25">
      <c r="A262" s="4" t="str">
        <f>"1683"</f>
        <v>1683</v>
      </c>
      <c r="B262" s="4" t="s">
        <v>2986</v>
      </c>
      <c r="C262" t="s">
        <v>2987</v>
      </c>
      <c r="D262" t="s">
        <v>2988</v>
      </c>
      <c r="E262" t="str">
        <f>"288 02"</f>
        <v>288 02</v>
      </c>
      <c r="F262" t="s">
        <v>2989</v>
      </c>
      <c r="G262" t="s">
        <v>201</v>
      </c>
      <c r="H262" t="s">
        <v>202</v>
      </c>
    </row>
    <row r="263" spans="1:9" x14ac:dyDescent="0.25">
      <c r="A263" s="4" t="str">
        <f>"5699"</f>
        <v>5699</v>
      </c>
      <c r="B263" s="4" t="s">
        <v>3002</v>
      </c>
      <c r="C263" t="s">
        <v>3003</v>
      </c>
      <c r="D263" t="s">
        <v>3004</v>
      </c>
      <c r="E263" t="str">
        <f>"288 02"</f>
        <v>288 02</v>
      </c>
      <c r="F263" t="s">
        <v>3005</v>
      </c>
      <c r="G263" t="s">
        <v>201</v>
      </c>
      <c r="H263" t="s">
        <v>120</v>
      </c>
    </row>
    <row r="264" spans="1:9" x14ac:dyDescent="0.25">
      <c r="A264" s="4" t="str">
        <f>"2233"</f>
        <v>2233</v>
      </c>
      <c r="B264" s="4" t="s">
        <v>3012</v>
      </c>
      <c r="C264" t="s">
        <v>3013</v>
      </c>
      <c r="D264" t="s">
        <v>3014</v>
      </c>
      <c r="E264" t="str">
        <f>"289 22"</f>
        <v>289 22</v>
      </c>
      <c r="F264" t="s">
        <v>3015</v>
      </c>
      <c r="G264" t="s">
        <v>201</v>
      </c>
      <c r="H264" t="s">
        <v>202</v>
      </c>
    </row>
    <row r="265" spans="1:9" x14ac:dyDescent="0.25">
      <c r="A265" s="4" t="str">
        <f>"2340"</f>
        <v>2340</v>
      </c>
      <c r="B265" s="4" t="s">
        <v>3016</v>
      </c>
      <c r="C265" t="s">
        <v>3017</v>
      </c>
      <c r="D265" t="s">
        <v>3018</v>
      </c>
      <c r="E265" t="str">
        <f>"290 01"</f>
        <v>290 01</v>
      </c>
      <c r="F265" t="s">
        <v>3019</v>
      </c>
      <c r="G265" t="s">
        <v>201</v>
      </c>
      <c r="H265" t="s">
        <v>202</v>
      </c>
      <c r="I265" t="s">
        <v>3020</v>
      </c>
    </row>
    <row r="266" spans="1:9" x14ac:dyDescent="0.25">
      <c r="A266" s="4" t="str">
        <f>"577/2002"</f>
        <v>577/2002</v>
      </c>
      <c r="B266" s="4" t="s">
        <v>3025</v>
      </c>
      <c r="C266" t="s">
        <v>3026</v>
      </c>
      <c r="D266" t="s">
        <v>3027</v>
      </c>
      <c r="E266" t="str">
        <f>"289 12"</f>
        <v>289 12</v>
      </c>
      <c r="F266" t="s">
        <v>3028</v>
      </c>
      <c r="G266" t="s">
        <v>201</v>
      </c>
      <c r="H266" t="s">
        <v>202</v>
      </c>
    </row>
    <row r="267" spans="1:9" x14ac:dyDescent="0.25">
      <c r="A267" s="4" t="str">
        <f>"2887"</f>
        <v>2887</v>
      </c>
      <c r="B267" s="4" t="s">
        <v>3029</v>
      </c>
      <c r="C267" t="s">
        <v>3030</v>
      </c>
      <c r="D267" t="s">
        <v>3031</v>
      </c>
      <c r="E267" t="str">
        <f>"289 23"</f>
        <v>289 23</v>
      </c>
      <c r="F267" t="s">
        <v>1738</v>
      </c>
      <c r="G267" t="s">
        <v>201</v>
      </c>
      <c r="H267" t="s">
        <v>202</v>
      </c>
    </row>
    <row r="268" spans="1:9" x14ac:dyDescent="0.25">
      <c r="A268" s="4" t="str">
        <f>"2071"</f>
        <v>2071</v>
      </c>
      <c r="B268" s="4" t="s">
        <v>3290</v>
      </c>
      <c r="C268" t="s">
        <v>3291</v>
      </c>
      <c r="D268" t="s">
        <v>3292</v>
      </c>
      <c r="E268" t="str">
        <f>"741 01"</f>
        <v>741 01</v>
      </c>
      <c r="F268" t="s">
        <v>3293</v>
      </c>
      <c r="G268" t="s">
        <v>1004</v>
      </c>
      <c r="H268" t="s">
        <v>202</v>
      </c>
    </row>
    <row r="269" spans="1:9" x14ac:dyDescent="0.25">
      <c r="A269" s="4" t="str">
        <f>"1611"</f>
        <v>1611</v>
      </c>
      <c r="B269" s="4" t="s">
        <v>3294</v>
      </c>
      <c r="C269" t="s">
        <v>3295</v>
      </c>
      <c r="D269" t="s">
        <v>3296</v>
      </c>
      <c r="E269" t="str">
        <f>"744 01"</f>
        <v>744 01</v>
      </c>
      <c r="F269" t="s">
        <v>3297</v>
      </c>
      <c r="G269" t="s">
        <v>1004</v>
      </c>
      <c r="H269" t="s">
        <v>202</v>
      </c>
    </row>
    <row r="270" spans="1:9" x14ac:dyDescent="0.25">
      <c r="A270" s="4" t="str">
        <f>"2763"</f>
        <v>2763</v>
      </c>
      <c r="B270" s="4" t="s">
        <v>3298</v>
      </c>
      <c r="C270" t="s">
        <v>3299</v>
      </c>
      <c r="D270" t="s">
        <v>3300</v>
      </c>
      <c r="E270" t="str">
        <f>"743 01"</f>
        <v>743 01</v>
      </c>
      <c r="F270" t="s">
        <v>3301</v>
      </c>
      <c r="G270" t="s">
        <v>1004</v>
      </c>
      <c r="H270" t="s">
        <v>202</v>
      </c>
    </row>
    <row r="271" spans="1:9" x14ac:dyDescent="0.25">
      <c r="A271" s="4" t="str">
        <f>"1494"</f>
        <v>1494</v>
      </c>
      <c r="B271" s="4" t="s">
        <v>3302</v>
      </c>
      <c r="C271" t="s">
        <v>3303</v>
      </c>
      <c r="D271" t="s">
        <v>3304</v>
      </c>
      <c r="E271" t="str">
        <f>"742 21"</f>
        <v>742 21</v>
      </c>
      <c r="F271" t="s">
        <v>3305</v>
      </c>
      <c r="G271" t="s">
        <v>1004</v>
      </c>
      <c r="H271" t="s">
        <v>202</v>
      </c>
      <c r="I271" t="s">
        <v>3306</v>
      </c>
    </row>
    <row r="272" spans="1:9" x14ac:dyDescent="0.25">
      <c r="A272" s="4" t="str">
        <f>"492"</f>
        <v>492</v>
      </c>
      <c r="B272" s="4" t="s">
        <v>3307</v>
      </c>
      <c r="C272" t="s">
        <v>3308</v>
      </c>
      <c r="D272" t="s">
        <v>3309</v>
      </c>
      <c r="E272" t="str">
        <f>"742 58"</f>
        <v>742 58</v>
      </c>
      <c r="F272" t="s">
        <v>3310</v>
      </c>
      <c r="G272" t="s">
        <v>1004</v>
      </c>
      <c r="H272" t="s">
        <v>202</v>
      </c>
      <c r="I272" t="s">
        <v>3311</v>
      </c>
    </row>
    <row r="273" spans="1:9" x14ac:dyDescent="0.25">
      <c r="A273" s="4" t="str">
        <f>"2390"</f>
        <v>2390</v>
      </c>
      <c r="B273" s="4" t="s">
        <v>3312</v>
      </c>
      <c r="C273" t="s">
        <v>3313</v>
      </c>
      <c r="D273" t="s">
        <v>3314</v>
      </c>
      <c r="E273" t="str">
        <f>"742 56"</f>
        <v>742 56</v>
      </c>
      <c r="F273" t="s">
        <v>3315</v>
      </c>
      <c r="G273" t="s">
        <v>1004</v>
      </c>
      <c r="H273" t="s">
        <v>120</v>
      </c>
    </row>
    <row r="274" spans="1:9" x14ac:dyDescent="0.25">
      <c r="A274" s="4" t="str">
        <f>"40"</f>
        <v>40</v>
      </c>
      <c r="B274" s="4" t="s">
        <v>3316</v>
      </c>
      <c r="C274" t="s">
        <v>3317</v>
      </c>
      <c r="D274" t="s">
        <v>3318</v>
      </c>
      <c r="E274" t="str">
        <f>"779 11"</f>
        <v>779 11</v>
      </c>
      <c r="F274" t="s">
        <v>3319</v>
      </c>
      <c r="G274" t="s">
        <v>1023</v>
      </c>
      <c r="H274" t="s">
        <v>115</v>
      </c>
    </row>
    <row r="275" spans="1:9" x14ac:dyDescent="0.25">
      <c r="A275" s="4" t="str">
        <f>"1976"</f>
        <v>1976</v>
      </c>
      <c r="B275" s="4" t="s">
        <v>3320</v>
      </c>
      <c r="C275" t="s">
        <v>3321</v>
      </c>
      <c r="D275" t="s">
        <v>3322</v>
      </c>
      <c r="E275" t="str">
        <f>"771 11"</f>
        <v>771 11</v>
      </c>
      <c r="F275" t="s">
        <v>3319</v>
      </c>
      <c r="G275" t="s">
        <v>1023</v>
      </c>
      <c r="H275" t="s">
        <v>21</v>
      </c>
    </row>
    <row r="276" spans="1:9" x14ac:dyDescent="0.25">
      <c r="A276" s="4" t="str">
        <f>"1976"</f>
        <v>1976</v>
      </c>
      <c r="B276" s="4" t="s">
        <v>3323</v>
      </c>
      <c r="C276" t="s">
        <v>3324</v>
      </c>
      <c r="D276" t="s">
        <v>3325</v>
      </c>
      <c r="E276" t="str">
        <f>"779 00"</f>
        <v>779 00</v>
      </c>
      <c r="F276" t="s">
        <v>3319</v>
      </c>
      <c r="G276" t="s">
        <v>1023</v>
      </c>
      <c r="H276" t="s">
        <v>21</v>
      </c>
    </row>
    <row r="277" spans="1:9" x14ac:dyDescent="0.25">
      <c r="A277" s="4" t="str">
        <f>"1537"</f>
        <v>1537</v>
      </c>
      <c r="B277" s="4" t="s">
        <v>3329</v>
      </c>
      <c r="C277" t="s">
        <v>3330</v>
      </c>
      <c r="D277" t="s">
        <v>3331</v>
      </c>
      <c r="E277" t="str">
        <f>"746 01"</f>
        <v>746 01</v>
      </c>
      <c r="F277" t="s">
        <v>3332</v>
      </c>
      <c r="G277" t="s">
        <v>1004</v>
      </c>
      <c r="H277" t="s">
        <v>21</v>
      </c>
    </row>
    <row r="278" spans="1:9" x14ac:dyDescent="0.25">
      <c r="A278" s="4" t="str">
        <f>"675"</f>
        <v>675</v>
      </c>
      <c r="B278" s="4" t="s">
        <v>3333</v>
      </c>
      <c r="C278" t="s">
        <v>3334</v>
      </c>
      <c r="D278" t="s">
        <v>3335</v>
      </c>
      <c r="E278" t="str">
        <f>"746 78"</f>
        <v>746 78</v>
      </c>
      <c r="F278" t="s">
        <v>3332</v>
      </c>
      <c r="G278" t="s">
        <v>1004</v>
      </c>
      <c r="H278" t="s">
        <v>202</v>
      </c>
      <c r="I278" t="s">
        <v>3336</v>
      </c>
    </row>
    <row r="279" spans="1:9" x14ac:dyDescent="0.25">
      <c r="A279" s="4" t="str">
        <f>"1977"</f>
        <v>1977</v>
      </c>
      <c r="B279" s="4" t="s">
        <v>3337</v>
      </c>
      <c r="C279" t="s">
        <v>3338</v>
      </c>
      <c r="D279" t="s">
        <v>3339</v>
      </c>
      <c r="E279" t="str">
        <f>"748 01"</f>
        <v>748 01</v>
      </c>
      <c r="F279" t="s">
        <v>3340</v>
      </c>
      <c r="G279" t="s">
        <v>1004</v>
      </c>
      <c r="H279" t="s">
        <v>202</v>
      </c>
    </row>
    <row r="280" spans="1:9" x14ac:dyDescent="0.25">
      <c r="A280" s="4" t="str">
        <f>"3198"</f>
        <v>3198</v>
      </c>
      <c r="B280" s="4" t="s">
        <v>3349</v>
      </c>
      <c r="C280" t="s">
        <v>3350</v>
      </c>
      <c r="D280" t="s">
        <v>3351</v>
      </c>
      <c r="E280" t="str">
        <f>"747 27"</f>
        <v>747 27</v>
      </c>
      <c r="F280" t="s">
        <v>3352</v>
      </c>
      <c r="G280" t="s">
        <v>1004</v>
      </c>
      <c r="H280" t="s">
        <v>120</v>
      </c>
    </row>
    <row r="281" spans="1:9" x14ac:dyDescent="0.25">
      <c r="A281" s="4" t="str">
        <f>"242"</f>
        <v>242</v>
      </c>
      <c r="B281" s="4" t="s">
        <v>3377</v>
      </c>
      <c r="C281" t="s">
        <v>3378</v>
      </c>
      <c r="D281" t="s">
        <v>3379</v>
      </c>
      <c r="E281" t="str">
        <f>"702 00"</f>
        <v>702 00</v>
      </c>
      <c r="F281" t="s">
        <v>3380</v>
      </c>
      <c r="G281" t="s">
        <v>1004</v>
      </c>
      <c r="H281" t="s">
        <v>115</v>
      </c>
    </row>
    <row r="282" spans="1:9" x14ac:dyDescent="0.25">
      <c r="A282" s="4" t="str">
        <f>"2700"</f>
        <v>2700</v>
      </c>
      <c r="B282" s="4" t="s">
        <v>3381</v>
      </c>
      <c r="C282" t="s">
        <v>3382</v>
      </c>
      <c r="D282" t="s">
        <v>3383</v>
      </c>
      <c r="E282" t="str">
        <f>"701 03"</f>
        <v>701 03</v>
      </c>
      <c r="F282" t="s">
        <v>3380</v>
      </c>
      <c r="G282" t="s">
        <v>1004</v>
      </c>
      <c r="H282" t="s">
        <v>21</v>
      </c>
    </row>
    <row r="283" spans="1:9" x14ac:dyDescent="0.25">
      <c r="A283" s="4" t="str">
        <f>"653"</f>
        <v>653</v>
      </c>
      <c r="B283" s="4" t="s">
        <v>3384</v>
      </c>
      <c r="C283" t="s">
        <v>3385</v>
      </c>
      <c r="D283" t="s">
        <v>3386</v>
      </c>
      <c r="E283" t="str">
        <f>"702 00"</f>
        <v>702 00</v>
      </c>
      <c r="F283" t="s">
        <v>3380</v>
      </c>
      <c r="G283" t="s">
        <v>1004</v>
      </c>
      <c r="H283" t="s">
        <v>202</v>
      </c>
    </row>
    <row r="284" spans="1:9" x14ac:dyDescent="0.25">
      <c r="A284" s="4" t="str">
        <f>"5785"</f>
        <v>5785</v>
      </c>
      <c r="B284" s="4" t="s">
        <v>3387</v>
      </c>
      <c r="C284" t="s">
        <v>3388</v>
      </c>
      <c r="D284" t="s">
        <v>3389</v>
      </c>
      <c r="E284" t="str">
        <f>"701 62"</f>
        <v>701 62</v>
      </c>
      <c r="F284" t="s">
        <v>3380</v>
      </c>
      <c r="G284" t="s">
        <v>1004</v>
      </c>
      <c r="H284" t="s">
        <v>705</v>
      </c>
    </row>
    <row r="285" spans="1:9" x14ac:dyDescent="0.25">
      <c r="A285" s="4" t="str">
        <f>"2598"</f>
        <v>2598</v>
      </c>
      <c r="B285" s="4" t="s">
        <v>3390</v>
      </c>
      <c r="C285" t="s">
        <v>3391</v>
      </c>
      <c r="D285" t="s">
        <v>3392</v>
      </c>
      <c r="E285" t="str">
        <f>"532 10"</f>
        <v>532 10</v>
      </c>
      <c r="F285" t="s">
        <v>3393</v>
      </c>
      <c r="G285" t="s">
        <v>1294</v>
      </c>
      <c r="H285" t="s">
        <v>21</v>
      </c>
    </row>
    <row r="286" spans="1:9" x14ac:dyDescent="0.25">
      <c r="A286" s="4" t="str">
        <f>"1875"</f>
        <v>1875</v>
      </c>
      <c r="B286" s="4" t="s">
        <v>3394</v>
      </c>
      <c r="C286" t="s">
        <v>3395</v>
      </c>
      <c r="D286" t="s">
        <v>3396</v>
      </c>
      <c r="E286" t="str">
        <f>"532 03"</f>
        <v>532 03</v>
      </c>
      <c r="F286" t="s">
        <v>3393</v>
      </c>
      <c r="G286" t="s">
        <v>1294</v>
      </c>
      <c r="H286" t="s">
        <v>92</v>
      </c>
    </row>
    <row r="287" spans="1:9" x14ac:dyDescent="0.25">
      <c r="A287" s="4" t="str">
        <f>"1491"</f>
        <v>1491</v>
      </c>
      <c r="B287" s="4" t="s">
        <v>3397</v>
      </c>
      <c r="C287" t="s">
        <v>3398</v>
      </c>
      <c r="D287" t="s">
        <v>3399</v>
      </c>
      <c r="E287" t="str">
        <f>"530 94"</f>
        <v>530 94</v>
      </c>
      <c r="F287" t="s">
        <v>3393</v>
      </c>
      <c r="G287" t="s">
        <v>1294</v>
      </c>
      <c r="H287" t="s">
        <v>202</v>
      </c>
      <c r="I287" t="s">
        <v>3400</v>
      </c>
    </row>
    <row r="288" spans="1:9" x14ac:dyDescent="0.25">
      <c r="A288" s="4" t="str">
        <f>"3051"</f>
        <v>3051</v>
      </c>
      <c r="B288" s="4" t="s">
        <v>3401</v>
      </c>
      <c r="C288" t="s">
        <v>3402</v>
      </c>
      <c r="D288" t="s">
        <v>3403</v>
      </c>
      <c r="E288" t="str">
        <f>"530 12"</f>
        <v>530 12</v>
      </c>
      <c r="F288" t="s">
        <v>3393</v>
      </c>
      <c r="G288" t="s">
        <v>1294</v>
      </c>
      <c r="H288" t="s">
        <v>202</v>
      </c>
    </row>
    <row r="289" spans="1:8" x14ac:dyDescent="0.25">
      <c r="A289" s="4" t="str">
        <f>"3656"</f>
        <v>3656</v>
      </c>
      <c r="B289" s="4" t="s">
        <v>3451</v>
      </c>
      <c r="C289" t="s">
        <v>225</v>
      </c>
      <c r="D289" t="s">
        <v>3452</v>
      </c>
      <c r="E289" t="str">
        <f>"535 01"</f>
        <v>535 01</v>
      </c>
      <c r="F289" t="s">
        <v>3453</v>
      </c>
      <c r="G289" t="s">
        <v>1294</v>
      </c>
      <c r="H289" t="s">
        <v>202</v>
      </c>
    </row>
    <row r="290" spans="1:8" x14ac:dyDescent="0.25">
      <c r="A290" s="4" t="str">
        <f>"1272"</f>
        <v>1272</v>
      </c>
      <c r="B290" s="4" t="s">
        <v>3454</v>
      </c>
      <c r="C290" t="s">
        <v>225</v>
      </c>
      <c r="D290" t="s">
        <v>3455</v>
      </c>
      <c r="E290" t="str">
        <f>"534 01"</f>
        <v>534 01</v>
      </c>
      <c r="F290" t="s">
        <v>3456</v>
      </c>
      <c r="G290" t="s">
        <v>1294</v>
      </c>
      <c r="H290" t="s">
        <v>202</v>
      </c>
    </row>
    <row r="291" spans="1:8" x14ac:dyDescent="0.25">
      <c r="A291" s="4" t="str">
        <f>"780"</f>
        <v>780</v>
      </c>
      <c r="B291" s="4" t="s">
        <v>3457</v>
      </c>
      <c r="C291" t="s">
        <v>3458</v>
      </c>
      <c r="D291" t="s">
        <v>3459</v>
      </c>
      <c r="E291" t="str">
        <f>"533 45"</f>
        <v>533 45</v>
      </c>
      <c r="F291" t="s">
        <v>3460</v>
      </c>
      <c r="G291" t="s">
        <v>1294</v>
      </c>
      <c r="H291" t="s">
        <v>120</v>
      </c>
    </row>
    <row r="292" spans="1:8" x14ac:dyDescent="0.25">
      <c r="A292" s="4" t="str">
        <f>"1546"</f>
        <v>1546</v>
      </c>
      <c r="B292" s="4" t="s">
        <v>3461</v>
      </c>
      <c r="C292" t="s">
        <v>3462</v>
      </c>
      <c r="D292" t="s">
        <v>3463</v>
      </c>
      <c r="E292" t="str">
        <f>"533 04"</f>
        <v>533 04</v>
      </c>
      <c r="F292" t="s">
        <v>2579</v>
      </c>
      <c r="G292" t="s">
        <v>1294</v>
      </c>
      <c r="H292" t="s">
        <v>202</v>
      </c>
    </row>
    <row r="293" spans="1:8" x14ac:dyDescent="0.25">
      <c r="A293" s="4" t="str">
        <f>"3552"</f>
        <v>3552</v>
      </c>
      <c r="B293" s="4" t="s">
        <v>3464</v>
      </c>
      <c r="C293" t="s">
        <v>3465</v>
      </c>
      <c r="D293" t="s">
        <v>3466</v>
      </c>
      <c r="E293" t="str">
        <f>"533 13"</f>
        <v>533 13</v>
      </c>
      <c r="F293" t="s">
        <v>3467</v>
      </c>
      <c r="G293" t="s">
        <v>1294</v>
      </c>
      <c r="H293" t="s">
        <v>120</v>
      </c>
    </row>
    <row r="294" spans="1:8" x14ac:dyDescent="0.25">
      <c r="A294" s="4" t="str">
        <f>"2131"</f>
        <v>2131</v>
      </c>
      <c r="B294" s="4" t="s">
        <v>3468</v>
      </c>
      <c r="C294" t="s">
        <v>3469</v>
      </c>
      <c r="D294" t="s">
        <v>3470</v>
      </c>
      <c r="E294" t="str">
        <f>"533 72"</f>
        <v>533 72</v>
      </c>
      <c r="F294" t="s">
        <v>991</v>
      </c>
      <c r="G294" t="s">
        <v>1294</v>
      </c>
      <c r="H294" t="s">
        <v>120</v>
      </c>
    </row>
    <row r="295" spans="1:8" x14ac:dyDescent="0.25">
      <c r="A295" s="4" t="str">
        <f>"4156"</f>
        <v>4156</v>
      </c>
      <c r="B295" s="4" t="s">
        <v>3471</v>
      </c>
      <c r="C295" t="s">
        <v>3472</v>
      </c>
      <c r="D295" t="s">
        <v>3473</v>
      </c>
      <c r="E295" t="str">
        <f>"533 03"</f>
        <v>533 03</v>
      </c>
      <c r="F295" t="s">
        <v>3474</v>
      </c>
      <c r="G295" t="s">
        <v>1294</v>
      </c>
      <c r="H295" t="s">
        <v>120</v>
      </c>
    </row>
    <row r="296" spans="1:8" x14ac:dyDescent="0.25">
      <c r="A296" s="4" t="str">
        <f>"2294"</f>
        <v>2294</v>
      </c>
      <c r="B296" s="4" t="s">
        <v>3586</v>
      </c>
      <c r="C296" t="s">
        <v>3587</v>
      </c>
      <c r="D296" t="s">
        <v>3588</v>
      </c>
      <c r="E296" t="str">
        <f>"261 01"</f>
        <v>261 01</v>
      </c>
      <c r="F296" t="s">
        <v>3589</v>
      </c>
      <c r="G296" t="s">
        <v>201</v>
      </c>
      <c r="H296" t="s">
        <v>202</v>
      </c>
    </row>
    <row r="297" spans="1:8" x14ac:dyDescent="0.25">
      <c r="A297" s="4" t="str">
        <f>"1988"</f>
        <v>1988</v>
      </c>
      <c r="B297" s="4" t="s">
        <v>3612</v>
      </c>
      <c r="C297" t="s">
        <v>3613</v>
      </c>
      <c r="D297" t="s">
        <v>3614</v>
      </c>
      <c r="E297" t="str">
        <f>"264 80"</f>
        <v>264 80</v>
      </c>
      <c r="F297" t="s">
        <v>3615</v>
      </c>
      <c r="G297" t="s">
        <v>201</v>
      </c>
      <c r="H297" t="s">
        <v>202</v>
      </c>
    </row>
    <row r="298" spans="1:8" x14ac:dyDescent="0.25">
      <c r="A298" s="4" t="str">
        <f>"2033"</f>
        <v>2033</v>
      </c>
      <c r="B298" s="4" t="s">
        <v>3616</v>
      </c>
      <c r="C298" t="s">
        <v>3617</v>
      </c>
      <c r="D298" t="s">
        <v>3618</v>
      </c>
      <c r="E298" t="str">
        <f>"263 80"</f>
        <v>263 80</v>
      </c>
      <c r="F298" t="s">
        <v>3619</v>
      </c>
      <c r="G298" t="s">
        <v>201</v>
      </c>
      <c r="H298" t="s">
        <v>202</v>
      </c>
    </row>
    <row r="299" spans="1:8" x14ac:dyDescent="0.25">
      <c r="A299" s="4" t="str">
        <f>"1880"</f>
        <v>1880</v>
      </c>
      <c r="B299" s="4" t="s">
        <v>3620</v>
      </c>
      <c r="C299" t="s">
        <v>3621</v>
      </c>
      <c r="D299" t="s">
        <v>3622</v>
      </c>
      <c r="E299" t="str">
        <f>"262 42"</f>
        <v>262 42</v>
      </c>
      <c r="F299" t="s">
        <v>3623</v>
      </c>
      <c r="G299" t="s">
        <v>201</v>
      </c>
      <c r="H299" t="s">
        <v>202</v>
      </c>
    </row>
    <row r="300" spans="1:8" x14ac:dyDescent="0.25">
      <c r="A300" s="4" t="str">
        <f>"1017/2002"</f>
        <v>1017/2002</v>
      </c>
      <c r="B300" s="4" t="s">
        <v>3624</v>
      </c>
      <c r="C300" t="s">
        <v>3625</v>
      </c>
      <c r="D300" t="s">
        <v>3626</v>
      </c>
      <c r="E300" t="str">
        <f>"262 31"</f>
        <v>262 31</v>
      </c>
      <c r="F300" t="s">
        <v>3627</v>
      </c>
      <c r="G300" t="s">
        <v>201</v>
      </c>
      <c r="H300" t="s">
        <v>120</v>
      </c>
    </row>
    <row r="301" spans="1:8" x14ac:dyDescent="0.25">
      <c r="A301" s="4" t="str">
        <f>"6107"</f>
        <v>6107</v>
      </c>
      <c r="B301" s="4" t="s">
        <v>3823</v>
      </c>
      <c r="C301" t="s">
        <v>3824</v>
      </c>
      <c r="D301" t="s">
        <v>3825</v>
      </c>
      <c r="E301" t="str">
        <f>"262 31"</f>
        <v>262 31</v>
      </c>
      <c r="F301" t="s">
        <v>3826</v>
      </c>
      <c r="G301" t="s">
        <v>201</v>
      </c>
      <c r="H301" t="s">
        <v>120</v>
      </c>
    </row>
    <row r="302" spans="1:8" x14ac:dyDescent="0.25">
      <c r="A302" s="4" t="str">
        <f>"536"</f>
        <v>536</v>
      </c>
      <c r="B302" s="4" t="s">
        <v>3871</v>
      </c>
      <c r="C302" t="s">
        <v>3872</v>
      </c>
      <c r="D302" t="s">
        <v>3873</v>
      </c>
      <c r="E302" t="str">
        <f>"393 01"</f>
        <v>393 01</v>
      </c>
      <c r="F302" t="s">
        <v>3874</v>
      </c>
      <c r="G302" t="s">
        <v>1509</v>
      </c>
      <c r="H302" t="s">
        <v>202</v>
      </c>
    </row>
    <row r="303" spans="1:8" x14ac:dyDescent="0.25">
      <c r="A303" s="4" t="str">
        <f>"1786"</f>
        <v>1786</v>
      </c>
      <c r="B303" s="4" t="s">
        <v>3875</v>
      </c>
      <c r="C303" t="s">
        <v>225</v>
      </c>
      <c r="D303" t="s">
        <v>3876</v>
      </c>
      <c r="E303" t="str">
        <f>"395 01"</f>
        <v>395 01</v>
      </c>
      <c r="F303" t="s">
        <v>3877</v>
      </c>
      <c r="G303" t="s">
        <v>1509</v>
      </c>
      <c r="H303" t="s">
        <v>202</v>
      </c>
    </row>
    <row r="304" spans="1:8" x14ac:dyDescent="0.25">
      <c r="A304" s="4" t="str">
        <f>"787"</f>
        <v>787</v>
      </c>
      <c r="B304" s="4" t="s">
        <v>3878</v>
      </c>
      <c r="C304" t="s">
        <v>225</v>
      </c>
      <c r="D304" t="s">
        <v>3879</v>
      </c>
      <c r="E304" t="str">
        <f>"396 01"</f>
        <v>396 01</v>
      </c>
      <c r="F304" t="s">
        <v>3880</v>
      </c>
      <c r="G304" t="s">
        <v>1509</v>
      </c>
      <c r="H304" t="s">
        <v>202</v>
      </c>
    </row>
    <row r="305" spans="1:9" x14ac:dyDescent="0.25">
      <c r="A305" s="4" t="str">
        <f>"1448"</f>
        <v>1448</v>
      </c>
      <c r="B305" s="4" t="s">
        <v>3881</v>
      </c>
      <c r="C305" t="s">
        <v>3882</v>
      </c>
      <c r="D305" t="s">
        <v>3883</v>
      </c>
      <c r="E305" t="str">
        <f>"396 01"</f>
        <v>396 01</v>
      </c>
      <c r="F305" t="s">
        <v>3170</v>
      </c>
      <c r="G305" t="s">
        <v>1509</v>
      </c>
      <c r="H305" t="s">
        <v>120</v>
      </c>
    </row>
    <row r="306" spans="1:9" x14ac:dyDescent="0.25">
      <c r="A306" s="4" t="str">
        <f>"1606"</f>
        <v>1606</v>
      </c>
      <c r="B306" s="4" t="s">
        <v>3884</v>
      </c>
      <c r="C306" t="s">
        <v>225</v>
      </c>
      <c r="D306" t="s">
        <v>3885</v>
      </c>
      <c r="E306" t="str">
        <f>"397 11"</f>
        <v>397 11</v>
      </c>
      <c r="F306" t="s">
        <v>1496</v>
      </c>
      <c r="G306" t="s">
        <v>1058</v>
      </c>
      <c r="H306" t="s">
        <v>202</v>
      </c>
    </row>
    <row r="307" spans="1:9" x14ac:dyDescent="0.25">
      <c r="A307" s="4" t="str">
        <f>"1682"</f>
        <v>1682</v>
      </c>
      <c r="B307" s="4" t="s">
        <v>3886</v>
      </c>
      <c r="C307" t="s">
        <v>3887</v>
      </c>
      <c r="D307" t="s">
        <v>3888</v>
      </c>
      <c r="E307" t="str">
        <f>"399 01"</f>
        <v>399 01</v>
      </c>
      <c r="F307" t="s">
        <v>3889</v>
      </c>
      <c r="G307" t="s">
        <v>1058</v>
      </c>
      <c r="H307" t="s">
        <v>202</v>
      </c>
    </row>
    <row r="308" spans="1:9" x14ac:dyDescent="0.25">
      <c r="A308" s="4" t="str">
        <f>"3088"</f>
        <v>3088</v>
      </c>
      <c r="B308" s="4" t="s">
        <v>3890</v>
      </c>
      <c r="C308" t="s">
        <v>217</v>
      </c>
      <c r="D308" t="s">
        <v>3891</v>
      </c>
      <c r="E308" t="str">
        <f>"398 43"</f>
        <v>398 43</v>
      </c>
      <c r="F308" t="s">
        <v>3892</v>
      </c>
      <c r="G308" t="s">
        <v>1058</v>
      </c>
      <c r="H308" t="s">
        <v>120</v>
      </c>
    </row>
    <row r="309" spans="1:9" x14ac:dyDescent="0.25">
      <c r="A309" s="4" t="str">
        <f>"92"</f>
        <v>92</v>
      </c>
      <c r="B309" s="4" t="s">
        <v>3901</v>
      </c>
      <c r="C309" t="s">
        <v>3902</v>
      </c>
      <c r="D309" t="s">
        <v>3903</v>
      </c>
      <c r="E309" t="str">
        <f>"301 00"</f>
        <v>301 00</v>
      </c>
      <c r="F309" t="s">
        <v>3904</v>
      </c>
      <c r="G309" t="s">
        <v>1397</v>
      </c>
      <c r="H309" t="s">
        <v>115</v>
      </c>
    </row>
    <row r="310" spans="1:9" x14ac:dyDescent="0.25">
      <c r="A310" s="4" t="str">
        <f>"4739"</f>
        <v>4739</v>
      </c>
      <c r="B310" s="4" t="s">
        <v>3905</v>
      </c>
      <c r="C310" t="s">
        <v>3906</v>
      </c>
      <c r="D310" t="s">
        <v>3907</v>
      </c>
      <c r="E310" t="str">
        <f>"306 14"</f>
        <v>306 14</v>
      </c>
      <c r="F310" t="s">
        <v>3904</v>
      </c>
      <c r="G310" t="s">
        <v>1397</v>
      </c>
      <c r="H310" t="s">
        <v>21</v>
      </c>
    </row>
    <row r="311" spans="1:9" x14ac:dyDescent="0.25">
      <c r="A311" s="4" t="str">
        <f>"1178"</f>
        <v>1178</v>
      </c>
      <c r="B311" s="4" t="s">
        <v>3908</v>
      </c>
      <c r="C311" t="s">
        <v>3909</v>
      </c>
      <c r="D311" t="s">
        <v>3910</v>
      </c>
      <c r="E311" t="str">
        <f>"301 00"</f>
        <v>301 00</v>
      </c>
      <c r="F311" t="s">
        <v>3904</v>
      </c>
      <c r="G311" t="s">
        <v>1397</v>
      </c>
      <c r="H311" t="s">
        <v>202</v>
      </c>
    </row>
    <row r="312" spans="1:9" x14ac:dyDescent="0.25">
      <c r="A312" s="4" t="str">
        <f>"655"</f>
        <v>655</v>
      </c>
      <c r="B312" s="4" t="s">
        <v>3911</v>
      </c>
      <c r="C312" t="s">
        <v>225</v>
      </c>
      <c r="D312" t="s">
        <v>3912</v>
      </c>
      <c r="E312" t="str">
        <f>"331 41"</f>
        <v>331 41</v>
      </c>
      <c r="F312" t="s">
        <v>3913</v>
      </c>
      <c r="G312" t="s">
        <v>1397</v>
      </c>
      <c r="H312" t="s">
        <v>202</v>
      </c>
    </row>
    <row r="313" spans="1:9" x14ac:dyDescent="0.25">
      <c r="A313" s="4" t="str">
        <f>"3168"</f>
        <v>3168</v>
      </c>
      <c r="B313" s="4" t="s">
        <v>3914</v>
      </c>
      <c r="C313" t="s">
        <v>3915</v>
      </c>
      <c r="D313" t="s">
        <v>3916</v>
      </c>
      <c r="E313" t="str">
        <f>"330 21"</f>
        <v>330 21</v>
      </c>
      <c r="F313" t="s">
        <v>3917</v>
      </c>
      <c r="G313" t="s">
        <v>1397</v>
      </c>
      <c r="H313" t="s">
        <v>120</v>
      </c>
    </row>
    <row r="314" spans="1:9" x14ac:dyDescent="0.25">
      <c r="A314" s="4" t="str">
        <f>"4205"</f>
        <v>4205</v>
      </c>
      <c r="B314" s="4" t="s">
        <v>3918</v>
      </c>
      <c r="C314" t="s">
        <v>3919</v>
      </c>
      <c r="D314" t="s">
        <v>3920</v>
      </c>
      <c r="E314" t="str">
        <f>"331 65"</f>
        <v>331 65</v>
      </c>
      <c r="F314" t="s">
        <v>3921</v>
      </c>
      <c r="G314" t="s">
        <v>1397</v>
      </c>
      <c r="H314" t="s">
        <v>120</v>
      </c>
      <c r="I314" t="s">
        <v>3922</v>
      </c>
    </row>
    <row r="315" spans="1:9" x14ac:dyDescent="0.25">
      <c r="A315" s="4" t="str">
        <f>"365"</f>
        <v>365</v>
      </c>
      <c r="B315" s="4" t="s">
        <v>3923</v>
      </c>
      <c r="C315" t="s">
        <v>225</v>
      </c>
      <c r="D315" t="s">
        <v>3924</v>
      </c>
      <c r="E315" t="str">
        <f>"330 11"</f>
        <v>330 11</v>
      </c>
      <c r="F315" t="s">
        <v>3925</v>
      </c>
      <c r="G315" t="s">
        <v>1397</v>
      </c>
      <c r="H315" t="s">
        <v>202</v>
      </c>
    </row>
    <row r="316" spans="1:9" x14ac:dyDescent="0.25">
      <c r="A316" s="4" t="str">
        <f>"1876"</f>
        <v>1876</v>
      </c>
      <c r="B316" s="4" t="s">
        <v>3926</v>
      </c>
      <c r="C316" t="s">
        <v>3927</v>
      </c>
      <c r="D316" t="s">
        <v>3928</v>
      </c>
      <c r="E316" t="str">
        <f>"336 01"</f>
        <v>336 01</v>
      </c>
      <c r="F316" t="s">
        <v>3929</v>
      </c>
      <c r="G316" t="s">
        <v>1397</v>
      </c>
      <c r="H316" t="s">
        <v>202</v>
      </c>
    </row>
    <row r="317" spans="1:9" x14ac:dyDescent="0.25">
      <c r="C317" t="s">
        <v>5281</v>
      </c>
      <c r="D317" t="s">
        <v>5282</v>
      </c>
      <c r="E317" t="s">
        <v>5283</v>
      </c>
      <c r="F317" t="s">
        <v>5284</v>
      </c>
      <c r="G317" t="s">
        <v>13</v>
      </c>
      <c r="H317" t="s">
        <v>21</v>
      </c>
    </row>
    <row r="318" spans="1:9" x14ac:dyDescent="0.25">
      <c r="A318" s="4" t="str">
        <f>"667"</f>
        <v>667</v>
      </c>
      <c r="B318" s="4" t="s">
        <v>3930</v>
      </c>
      <c r="C318" t="s">
        <v>3931</v>
      </c>
      <c r="D318" t="s">
        <v>3932</v>
      </c>
      <c r="E318" t="str">
        <f>"750 02"</f>
        <v>750 02</v>
      </c>
      <c r="F318" t="s">
        <v>3933</v>
      </c>
      <c r="G318" t="s">
        <v>1023</v>
      </c>
      <c r="H318" t="s">
        <v>202</v>
      </c>
    </row>
    <row r="319" spans="1:9" x14ac:dyDescent="0.25">
      <c r="A319" s="4" t="str">
        <f>"100"</f>
        <v>100</v>
      </c>
      <c r="B319" s="4" t="s">
        <v>3934</v>
      </c>
      <c r="C319" t="s">
        <v>3935</v>
      </c>
      <c r="D319" t="s">
        <v>3936</v>
      </c>
      <c r="E319" t="str">
        <f>"753 01"</f>
        <v>753 01</v>
      </c>
      <c r="F319" t="s">
        <v>3937</v>
      </c>
      <c r="G319" t="s">
        <v>1023</v>
      </c>
      <c r="H319" t="s">
        <v>202</v>
      </c>
    </row>
    <row r="320" spans="1:9" x14ac:dyDescent="0.25">
      <c r="A320" s="4" t="str">
        <f>"708"</f>
        <v>708</v>
      </c>
      <c r="B320" s="4" t="s">
        <v>3938</v>
      </c>
      <c r="C320" t="s">
        <v>3939</v>
      </c>
      <c r="D320" t="s">
        <v>3940</v>
      </c>
      <c r="E320" t="str">
        <f>"751 31"</f>
        <v>751 31</v>
      </c>
      <c r="F320" t="s">
        <v>3941</v>
      </c>
      <c r="G320" t="s">
        <v>1023</v>
      </c>
      <c r="H320" t="s">
        <v>202</v>
      </c>
    </row>
    <row r="321" spans="1:8" x14ac:dyDescent="0.25">
      <c r="A321" s="4" t="str">
        <f>"2116"</f>
        <v>2116</v>
      </c>
      <c r="B321" s="4" t="s">
        <v>3946</v>
      </c>
      <c r="C321" t="s">
        <v>3947</v>
      </c>
      <c r="D321" t="s">
        <v>3948</v>
      </c>
      <c r="E321" t="str">
        <f>"383 01"</f>
        <v>383 01</v>
      </c>
      <c r="F321" t="s">
        <v>3949</v>
      </c>
      <c r="G321" t="s">
        <v>1058</v>
      </c>
      <c r="H321" t="s">
        <v>202</v>
      </c>
    </row>
    <row r="322" spans="1:8" x14ac:dyDescent="0.25">
      <c r="A322" s="4" t="str">
        <f>"2765"</f>
        <v>2765</v>
      </c>
      <c r="B322" s="4" t="s">
        <v>3950</v>
      </c>
      <c r="C322" t="s">
        <v>225</v>
      </c>
      <c r="D322" t="s">
        <v>3951</v>
      </c>
      <c r="E322" t="str">
        <f>"385 01"</f>
        <v>385 01</v>
      </c>
      <c r="F322" t="s">
        <v>3952</v>
      </c>
      <c r="G322" t="s">
        <v>1058</v>
      </c>
      <c r="H322" t="s">
        <v>202</v>
      </c>
    </row>
    <row r="323" spans="1:8" x14ac:dyDescent="0.25">
      <c r="A323" s="4" t="str">
        <f>"1228"</f>
        <v>1228</v>
      </c>
      <c r="B323" s="4" t="s">
        <v>3953</v>
      </c>
      <c r="C323" t="s">
        <v>3954</v>
      </c>
      <c r="D323" t="s">
        <v>3955</v>
      </c>
      <c r="E323" t="str">
        <f>"384 51"</f>
        <v>384 51</v>
      </c>
      <c r="F323" t="s">
        <v>3956</v>
      </c>
      <c r="G323" t="s">
        <v>1058</v>
      </c>
      <c r="H323" t="s">
        <v>202</v>
      </c>
    </row>
    <row r="324" spans="1:8" x14ac:dyDescent="0.25">
      <c r="A324" s="4" t="str">
        <f>"2251"</f>
        <v>2251</v>
      </c>
      <c r="B324" s="4" t="s">
        <v>3957</v>
      </c>
      <c r="C324" t="s">
        <v>3958</v>
      </c>
      <c r="D324" t="s">
        <v>3959</v>
      </c>
      <c r="E324" t="str">
        <f>"384 72"</f>
        <v>384 72</v>
      </c>
      <c r="F324" t="s">
        <v>3960</v>
      </c>
      <c r="G324" t="s">
        <v>1058</v>
      </c>
      <c r="H324" t="s">
        <v>120</v>
      </c>
    </row>
    <row r="325" spans="1:8" x14ac:dyDescent="0.25">
      <c r="A325" s="4" t="str">
        <f>"1492"</f>
        <v>1492</v>
      </c>
      <c r="B325" s="4" t="s">
        <v>4003</v>
      </c>
      <c r="C325" t="s">
        <v>4004</v>
      </c>
      <c r="D325" t="s">
        <v>4005</v>
      </c>
      <c r="E325" t="str">
        <f>"796 01"</f>
        <v>796 01</v>
      </c>
      <c r="F325" t="s">
        <v>4006</v>
      </c>
      <c r="G325" t="s">
        <v>1023</v>
      </c>
      <c r="H325" t="s">
        <v>202</v>
      </c>
    </row>
    <row r="326" spans="1:8" x14ac:dyDescent="0.25">
      <c r="A326" s="4" t="str">
        <f>"2053"</f>
        <v>2053</v>
      </c>
      <c r="B326" s="4" t="s">
        <v>4007</v>
      </c>
      <c r="C326" t="s">
        <v>4008</v>
      </c>
      <c r="D326" t="s">
        <v>4009</v>
      </c>
      <c r="E326" t="str">
        <f>"269 01"</f>
        <v>269 01</v>
      </c>
      <c r="F326" t="s">
        <v>4010</v>
      </c>
      <c r="G326" t="s">
        <v>201</v>
      </c>
      <c r="H326" t="s">
        <v>202</v>
      </c>
    </row>
    <row r="327" spans="1:8" x14ac:dyDescent="0.25">
      <c r="A327" s="4" t="str">
        <f>"1293"</f>
        <v>1293</v>
      </c>
      <c r="B327" s="4" t="s">
        <v>4011</v>
      </c>
      <c r="C327" t="s">
        <v>4012</v>
      </c>
      <c r="D327" t="s">
        <v>4013</v>
      </c>
      <c r="E327" t="str">
        <f>"517 21"</f>
        <v>517 21</v>
      </c>
      <c r="F327" t="s">
        <v>4014</v>
      </c>
      <c r="G327" t="s">
        <v>1536</v>
      </c>
      <c r="H327" t="s">
        <v>202</v>
      </c>
    </row>
    <row r="328" spans="1:8" x14ac:dyDescent="0.25">
      <c r="A328" s="4" t="str">
        <f>"821"</f>
        <v>821</v>
      </c>
      <c r="B328" s="4" t="s">
        <v>4015</v>
      </c>
      <c r="C328" t="s">
        <v>4016</v>
      </c>
      <c r="D328" t="s">
        <v>4017</v>
      </c>
      <c r="E328" t="str">
        <f>"518 01"</f>
        <v>518 01</v>
      </c>
      <c r="F328" t="s">
        <v>4018</v>
      </c>
      <c r="G328" t="s">
        <v>1536</v>
      </c>
      <c r="H328" t="s">
        <v>202</v>
      </c>
    </row>
    <row r="329" spans="1:8" x14ac:dyDescent="0.25">
      <c r="A329" s="4" t="str">
        <f>"1796"</f>
        <v>1796</v>
      </c>
      <c r="B329" s="4" t="s">
        <v>4019</v>
      </c>
      <c r="C329" t="s">
        <v>4020</v>
      </c>
      <c r="D329" t="s">
        <v>4021</v>
      </c>
      <c r="E329" t="str">
        <f>"337 01"</f>
        <v>337 01</v>
      </c>
      <c r="F329" t="s">
        <v>4022</v>
      </c>
      <c r="G329" t="s">
        <v>1397</v>
      </c>
      <c r="H329" t="s">
        <v>202</v>
      </c>
    </row>
    <row r="330" spans="1:8" x14ac:dyDescent="0.25">
      <c r="A330" s="4" t="str">
        <f>"2760"</f>
        <v>2760</v>
      </c>
      <c r="B330" s="4" t="s">
        <v>4023</v>
      </c>
      <c r="C330" t="s">
        <v>4024</v>
      </c>
      <c r="D330" t="s">
        <v>4025</v>
      </c>
      <c r="E330" t="str">
        <f>"513 01"</f>
        <v>513 01</v>
      </c>
      <c r="F330" t="s">
        <v>4026</v>
      </c>
      <c r="G330" t="s">
        <v>1280</v>
      </c>
      <c r="H330" t="s">
        <v>202</v>
      </c>
    </row>
    <row r="331" spans="1:8" x14ac:dyDescent="0.25">
      <c r="A331" s="4" t="str">
        <f>"2203/2002"</f>
        <v>2203/2002</v>
      </c>
      <c r="B331" s="4" t="s">
        <v>4027</v>
      </c>
      <c r="C331" t="s">
        <v>4028</v>
      </c>
      <c r="D331" t="s">
        <v>4029</v>
      </c>
      <c r="E331" t="str">
        <f>"514 01"</f>
        <v>514 01</v>
      </c>
      <c r="F331" t="s">
        <v>4030</v>
      </c>
      <c r="G331" t="s">
        <v>1280</v>
      </c>
      <c r="H331" t="s">
        <v>202</v>
      </c>
    </row>
    <row r="332" spans="1:8" x14ac:dyDescent="0.25">
      <c r="A332" s="4" t="str">
        <f>"1800"</f>
        <v>1800</v>
      </c>
      <c r="B332" s="4" t="s">
        <v>4031</v>
      </c>
      <c r="C332" t="s">
        <v>225</v>
      </c>
      <c r="D332" t="s">
        <v>4032</v>
      </c>
      <c r="E332" t="str">
        <f>"512 44"</f>
        <v>512 44</v>
      </c>
      <c r="F332" t="s">
        <v>4033</v>
      </c>
      <c r="G332" t="s">
        <v>1280</v>
      </c>
      <c r="H332" t="s">
        <v>202</v>
      </c>
    </row>
    <row r="333" spans="1:8" x14ac:dyDescent="0.25">
      <c r="A333" s="4" t="str">
        <f>"3579"</f>
        <v>3579</v>
      </c>
      <c r="B333" s="4" t="s">
        <v>4034</v>
      </c>
      <c r="C333" t="s">
        <v>225</v>
      </c>
      <c r="D333" t="s">
        <v>4035</v>
      </c>
      <c r="E333" t="str">
        <f>"512 43"</f>
        <v>512 43</v>
      </c>
      <c r="F333" t="s">
        <v>4036</v>
      </c>
      <c r="G333" t="s">
        <v>1280</v>
      </c>
      <c r="H333" t="s">
        <v>202</v>
      </c>
    </row>
    <row r="334" spans="1:8" x14ac:dyDescent="0.25">
      <c r="A334" s="4" t="str">
        <f>"1123"</f>
        <v>1123</v>
      </c>
      <c r="B334" s="4" t="s">
        <v>4037</v>
      </c>
      <c r="C334" t="s">
        <v>225</v>
      </c>
      <c r="D334" t="s">
        <v>4038</v>
      </c>
      <c r="E334" t="str">
        <f>"512 46"</f>
        <v>512 46</v>
      </c>
      <c r="F334" t="s">
        <v>4038</v>
      </c>
      <c r="G334" t="s">
        <v>1280</v>
      </c>
      <c r="H334" t="s">
        <v>202</v>
      </c>
    </row>
    <row r="335" spans="1:8" x14ac:dyDescent="0.25">
      <c r="A335" s="4" t="str">
        <f>"2761"</f>
        <v>2761</v>
      </c>
      <c r="B335" s="4" t="s">
        <v>4039</v>
      </c>
      <c r="C335" t="s">
        <v>4040</v>
      </c>
      <c r="D335" t="s">
        <v>4041</v>
      </c>
      <c r="E335" t="str">
        <f>"511 01"</f>
        <v>511 01</v>
      </c>
      <c r="F335" t="s">
        <v>4042</v>
      </c>
      <c r="G335" t="s">
        <v>1280</v>
      </c>
      <c r="H335" t="s">
        <v>202</v>
      </c>
    </row>
    <row r="336" spans="1:8" x14ac:dyDescent="0.25">
      <c r="A336" s="4" t="str">
        <f>"1789/02"</f>
        <v>1789/02</v>
      </c>
      <c r="B336" s="4" t="s">
        <v>4043</v>
      </c>
      <c r="C336" t="s">
        <v>225</v>
      </c>
      <c r="D336" t="s">
        <v>4044</v>
      </c>
      <c r="E336" t="str">
        <f>"512 11"</f>
        <v>512 11</v>
      </c>
      <c r="F336" t="s">
        <v>4045</v>
      </c>
      <c r="G336" t="s">
        <v>1280</v>
      </c>
      <c r="H336" t="s">
        <v>202</v>
      </c>
    </row>
    <row r="337" spans="1:9" x14ac:dyDescent="0.25">
      <c r="A337" s="4" t="str">
        <f>"1541"</f>
        <v>1541</v>
      </c>
      <c r="B337" s="4" t="s">
        <v>4046</v>
      </c>
      <c r="C337" t="s">
        <v>4047</v>
      </c>
      <c r="D337" t="s">
        <v>4048</v>
      </c>
      <c r="E337" t="str">
        <f>"356 01"</f>
        <v>356 01</v>
      </c>
      <c r="F337" t="s">
        <v>4049</v>
      </c>
      <c r="G337" t="s">
        <v>1144</v>
      </c>
      <c r="H337" t="s">
        <v>202</v>
      </c>
      <c r="I337" t="s">
        <v>4050</v>
      </c>
    </row>
    <row r="338" spans="1:9" x14ac:dyDescent="0.25">
      <c r="A338" s="4" t="str">
        <f>"5"</f>
        <v>5</v>
      </c>
      <c r="B338" s="4" t="s">
        <v>4051</v>
      </c>
      <c r="C338" t="s">
        <v>225</v>
      </c>
      <c r="D338" t="s">
        <v>4052</v>
      </c>
      <c r="E338" t="str">
        <f>"357 33"</f>
        <v>357 33</v>
      </c>
      <c r="F338" t="s">
        <v>4053</v>
      </c>
      <c r="G338" t="s">
        <v>1144</v>
      </c>
      <c r="H338" t="s">
        <v>202</v>
      </c>
    </row>
    <row r="339" spans="1:9" x14ac:dyDescent="0.25">
      <c r="A339" s="4" t="str">
        <f>"5141"</f>
        <v>5141</v>
      </c>
      <c r="B339" s="4" t="s">
        <v>4054</v>
      </c>
      <c r="C339" t="s">
        <v>225</v>
      </c>
      <c r="D339" t="s">
        <v>4055</v>
      </c>
      <c r="E339" t="str">
        <f>"357 01"</f>
        <v>357 01</v>
      </c>
      <c r="F339" t="s">
        <v>4056</v>
      </c>
      <c r="G339" t="s">
        <v>1144</v>
      </c>
      <c r="H339" t="s">
        <v>202</v>
      </c>
    </row>
    <row r="340" spans="1:9" x14ac:dyDescent="0.25">
      <c r="A340" s="4" t="str">
        <f>"1542/2002"</f>
        <v>1542/2002</v>
      </c>
      <c r="B340" s="4" t="s">
        <v>4057</v>
      </c>
      <c r="C340" t="s">
        <v>4058</v>
      </c>
      <c r="D340" t="s">
        <v>4059</v>
      </c>
      <c r="E340" t="str">
        <f>"357 35"</f>
        <v>357 35</v>
      </c>
      <c r="F340" t="s">
        <v>4060</v>
      </c>
      <c r="G340" t="s">
        <v>1144</v>
      </c>
      <c r="H340" t="s">
        <v>202</v>
      </c>
    </row>
    <row r="341" spans="1:9" x14ac:dyDescent="0.25">
      <c r="A341" s="4" t="str">
        <f>"3852"</f>
        <v>3852</v>
      </c>
      <c r="B341" s="4" t="s">
        <v>4061</v>
      </c>
      <c r="C341" t="s">
        <v>4062</v>
      </c>
      <c r="D341" t="s">
        <v>4063</v>
      </c>
      <c r="E341" t="str">
        <f>"358 01"</f>
        <v>358 01</v>
      </c>
      <c r="F341" t="s">
        <v>4064</v>
      </c>
      <c r="G341" t="s">
        <v>1144</v>
      </c>
      <c r="H341" t="s">
        <v>202</v>
      </c>
    </row>
    <row r="342" spans="1:9" x14ac:dyDescent="0.25">
      <c r="A342" s="4" t="str">
        <f>"421"</f>
        <v>421</v>
      </c>
      <c r="B342" s="4" t="s">
        <v>4065</v>
      </c>
      <c r="C342" t="s">
        <v>225</v>
      </c>
      <c r="D342" t="s">
        <v>4066</v>
      </c>
      <c r="E342" t="str">
        <f>"357 61"</f>
        <v>357 61</v>
      </c>
      <c r="F342" t="s">
        <v>563</v>
      </c>
      <c r="G342" t="s">
        <v>1144</v>
      </c>
      <c r="H342" t="s">
        <v>202</v>
      </c>
    </row>
    <row r="343" spans="1:9" x14ac:dyDescent="0.25">
      <c r="A343" s="4" t="str">
        <f>"508"</f>
        <v>508</v>
      </c>
      <c r="B343" s="4" t="s">
        <v>4067</v>
      </c>
      <c r="C343" t="s">
        <v>4068</v>
      </c>
      <c r="D343" t="s">
        <v>4069</v>
      </c>
      <c r="E343" t="str">
        <f>"357 09"</f>
        <v>357 09</v>
      </c>
      <c r="F343" t="s">
        <v>4070</v>
      </c>
      <c r="G343" t="s">
        <v>1144</v>
      </c>
      <c r="H343" t="s">
        <v>202</v>
      </c>
    </row>
    <row r="344" spans="1:9" x14ac:dyDescent="0.25">
      <c r="A344" s="4" t="str">
        <f>"3063"</f>
        <v>3063</v>
      </c>
      <c r="B344" s="4" t="s">
        <v>4071</v>
      </c>
      <c r="C344" t="s">
        <v>4072</v>
      </c>
      <c r="D344" t="s">
        <v>4073</v>
      </c>
      <c r="E344" t="str">
        <f>"35601"</f>
        <v>35601</v>
      </c>
      <c r="F344" t="s">
        <v>4074</v>
      </c>
      <c r="G344" t="s">
        <v>1144</v>
      </c>
      <c r="H344" t="s">
        <v>202</v>
      </c>
    </row>
    <row r="345" spans="1:9" x14ac:dyDescent="0.25">
      <c r="A345" s="4" t="str">
        <f>"1980"</f>
        <v>1980</v>
      </c>
      <c r="B345" s="4" t="s">
        <v>4075</v>
      </c>
      <c r="C345" t="s">
        <v>4076</v>
      </c>
      <c r="D345" t="s">
        <v>1546</v>
      </c>
      <c r="E345" t="str">
        <f>"386 11"</f>
        <v>386 11</v>
      </c>
      <c r="F345" t="s">
        <v>4077</v>
      </c>
      <c r="G345" t="s">
        <v>1058</v>
      </c>
      <c r="H345" t="s">
        <v>202</v>
      </c>
    </row>
    <row r="346" spans="1:9" x14ac:dyDescent="0.25">
      <c r="A346" s="4" t="str">
        <f>"1906"</f>
        <v>1906</v>
      </c>
      <c r="B346" s="4" t="s">
        <v>4078</v>
      </c>
      <c r="C346" t="s">
        <v>4079</v>
      </c>
      <c r="D346" t="s">
        <v>4080</v>
      </c>
      <c r="E346" t="str">
        <f>"387 01"</f>
        <v>387 01</v>
      </c>
      <c r="F346" t="s">
        <v>4081</v>
      </c>
      <c r="G346" t="s">
        <v>1058</v>
      </c>
      <c r="H346" t="s">
        <v>202</v>
      </c>
    </row>
    <row r="347" spans="1:9" x14ac:dyDescent="0.25">
      <c r="A347" s="4" t="str">
        <f>"943"</f>
        <v>943</v>
      </c>
      <c r="B347" s="4" t="s">
        <v>4082</v>
      </c>
      <c r="C347" t="s">
        <v>4083</v>
      </c>
      <c r="D347" t="s">
        <v>4084</v>
      </c>
      <c r="E347" t="str">
        <f>"388 01"</f>
        <v>388 01</v>
      </c>
      <c r="F347" t="s">
        <v>4085</v>
      </c>
      <c r="G347" t="s">
        <v>1058</v>
      </c>
      <c r="H347" t="s">
        <v>202</v>
      </c>
    </row>
    <row r="348" spans="1:9" x14ac:dyDescent="0.25">
      <c r="A348" s="4" t="str">
        <f>"1939"</f>
        <v>1939</v>
      </c>
      <c r="B348" s="4" t="s">
        <v>4086</v>
      </c>
      <c r="C348" t="s">
        <v>4087</v>
      </c>
      <c r="D348" t="s">
        <v>4088</v>
      </c>
      <c r="E348" t="str">
        <f>"389 01"</f>
        <v>389 01</v>
      </c>
      <c r="F348" t="s">
        <v>4089</v>
      </c>
      <c r="G348" t="s">
        <v>1058</v>
      </c>
      <c r="H348" t="s">
        <v>202</v>
      </c>
    </row>
    <row r="349" spans="1:9" x14ac:dyDescent="0.25">
      <c r="A349" s="4" t="str">
        <f>"102"</f>
        <v>102</v>
      </c>
      <c r="B349" s="4" t="s">
        <v>4103</v>
      </c>
      <c r="C349" t="s">
        <v>4104</v>
      </c>
      <c r="D349" t="s">
        <v>4105</v>
      </c>
      <c r="E349" t="str">
        <f>"787 01"</f>
        <v>787 01</v>
      </c>
      <c r="F349" t="s">
        <v>4106</v>
      </c>
      <c r="G349" t="s">
        <v>1023</v>
      </c>
      <c r="H349" t="s">
        <v>202</v>
      </c>
    </row>
    <row r="350" spans="1:9" x14ac:dyDescent="0.25">
      <c r="A350" s="4" t="str">
        <f>"3418"</f>
        <v>3418</v>
      </c>
      <c r="B350" s="4" t="s">
        <v>4107</v>
      </c>
      <c r="C350" t="s">
        <v>4108</v>
      </c>
      <c r="D350" t="s">
        <v>4109</v>
      </c>
      <c r="E350" t="str">
        <f>"789 85"</f>
        <v>789 85</v>
      </c>
      <c r="F350" t="s">
        <v>4110</v>
      </c>
      <c r="G350" t="s">
        <v>1023</v>
      </c>
      <c r="H350" t="s">
        <v>202</v>
      </c>
    </row>
    <row r="351" spans="1:9" x14ac:dyDescent="0.25">
      <c r="A351" s="4" t="str">
        <f>"581"</f>
        <v>581</v>
      </c>
      <c r="B351" s="4" t="s">
        <v>4111</v>
      </c>
      <c r="C351" t="s">
        <v>4112</v>
      </c>
      <c r="D351" t="s">
        <v>4113</v>
      </c>
      <c r="E351" t="str">
        <f>"788 33"</f>
        <v>788 33</v>
      </c>
      <c r="F351" t="s">
        <v>4114</v>
      </c>
      <c r="G351" t="s">
        <v>1023</v>
      </c>
      <c r="H351" t="s">
        <v>202</v>
      </c>
    </row>
    <row r="352" spans="1:9" x14ac:dyDescent="0.25">
      <c r="A352" s="4" t="str">
        <f>"1138"</f>
        <v>1138</v>
      </c>
      <c r="B352" s="4" t="s">
        <v>4115</v>
      </c>
      <c r="C352" t="s">
        <v>4116</v>
      </c>
      <c r="D352" t="s">
        <v>4117</v>
      </c>
      <c r="E352" t="str">
        <f>"788 05"</f>
        <v>788 05</v>
      </c>
      <c r="F352" t="s">
        <v>4118</v>
      </c>
      <c r="G352" t="s">
        <v>1023</v>
      </c>
      <c r="H352" t="s">
        <v>120</v>
      </c>
    </row>
    <row r="353" spans="1:8" x14ac:dyDescent="0.25">
      <c r="A353" s="4" t="str">
        <f>"2979"</f>
        <v>2979</v>
      </c>
      <c r="B353" s="4" t="s">
        <v>4119</v>
      </c>
      <c r="C353" t="s">
        <v>4120</v>
      </c>
      <c r="D353" t="s">
        <v>4121</v>
      </c>
      <c r="E353" t="str">
        <f>"788 14"</f>
        <v>788 14</v>
      </c>
      <c r="F353" t="s">
        <v>4122</v>
      </c>
      <c r="G353" t="s">
        <v>1023</v>
      </c>
      <c r="H353" t="s">
        <v>120</v>
      </c>
    </row>
    <row r="354" spans="1:8" x14ac:dyDescent="0.25">
      <c r="A354" s="4" t="str">
        <f>"1544"</f>
        <v>1544</v>
      </c>
      <c r="B354" s="4" t="s">
        <v>4123</v>
      </c>
      <c r="C354" t="s">
        <v>4124</v>
      </c>
      <c r="D354" t="s">
        <v>4125</v>
      </c>
      <c r="E354" t="str">
        <f>"789 01"</f>
        <v>789 01</v>
      </c>
      <c r="F354" t="s">
        <v>4126</v>
      </c>
      <c r="G354" t="s">
        <v>1023</v>
      </c>
      <c r="H354" t="s">
        <v>202</v>
      </c>
    </row>
    <row r="355" spans="1:8" x14ac:dyDescent="0.25">
      <c r="A355" s="4" t="str">
        <f>"801"</f>
        <v>801</v>
      </c>
      <c r="B355" s="4" t="s">
        <v>4127</v>
      </c>
      <c r="C355" t="s">
        <v>4128</v>
      </c>
      <c r="D355" t="s">
        <v>4129</v>
      </c>
      <c r="E355" t="str">
        <f>"568 02"</f>
        <v>568 02</v>
      </c>
      <c r="F355" t="s">
        <v>4130</v>
      </c>
      <c r="G355" t="s">
        <v>1294</v>
      </c>
      <c r="H355" t="s">
        <v>202</v>
      </c>
    </row>
    <row r="356" spans="1:8" x14ac:dyDescent="0.25">
      <c r="A356" s="4" t="str">
        <f>"3499"</f>
        <v>3499</v>
      </c>
      <c r="B356" s="4" t="s">
        <v>4139</v>
      </c>
      <c r="C356" t="s">
        <v>4140</v>
      </c>
      <c r="D356" t="s">
        <v>4141</v>
      </c>
      <c r="E356" t="str">
        <f>"570 01"</f>
        <v>570 01</v>
      </c>
      <c r="F356" t="s">
        <v>4142</v>
      </c>
      <c r="G356" t="s">
        <v>1294</v>
      </c>
      <c r="H356" t="s">
        <v>202</v>
      </c>
    </row>
    <row r="357" spans="1:8" x14ac:dyDescent="0.25">
      <c r="A357" s="4" t="str">
        <f>"2025"</f>
        <v>2025</v>
      </c>
      <c r="B357" s="4" t="s">
        <v>4143</v>
      </c>
      <c r="C357" t="s">
        <v>4144</v>
      </c>
      <c r="D357" t="s">
        <v>4145</v>
      </c>
      <c r="E357" t="str">
        <f>"571 01"</f>
        <v>571 01</v>
      </c>
      <c r="F357" t="s">
        <v>4146</v>
      </c>
      <c r="G357" t="s">
        <v>1294</v>
      </c>
      <c r="H357" t="s">
        <v>202</v>
      </c>
    </row>
    <row r="358" spans="1:8" x14ac:dyDescent="0.25">
      <c r="A358" s="4" t="str">
        <f>"1003"</f>
        <v>1003</v>
      </c>
      <c r="B358" s="4" t="s">
        <v>4147</v>
      </c>
      <c r="C358" t="s">
        <v>4148</v>
      </c>
      <c r="D358" t="s">
        <v>4149</v>
      </c>
      <c r="E358" t="str">
        <f>"569 92"</f>
        <v>569 92</v>
      </c>
      <c r="F358" t="s">
        <v>4150</v>
      </c>
      <c r="G358" t="s">
        <v>1294</v>
      </c>
      <c r="H358" t="s">
        <v>202</v>
      </c>
    </row>
    <row r="359" spans="1:8" x14ac:dyDescent="0.25">
      <c r="A359" s="4" t="str">
        <f>"1144"</f>
        <v>1144</v>
      </c>
      <c r="B359" s="4" t="s">
        <v>4151</v>
      </c>
      <c r="C359" t="s">
        <v>4152</v>
      </c>
      <c r="D359" t="s">
        <v>4153</v>
      </c>
      <c r="E359" t="str">
        <f>"569 61"</f>
        <v>569 61</v>
      </c>
      <c r="F359" t="s">
        <v>4154</v>
      </c>
      <c r="G359" t="s">
        <v>1294</v>
      </c>
      <c r="H359" t="s">
        <v>120</v>
      </c>
    </row>
    <row r="360" spans="1:8" x14ac:dyDescent="0.25">
      <c r="A360" s="4" t="str">
        <f>"2533"</f>
        <v>2533</v>
      </c>
      <c r="B360" s="4" t="s">
        <v>4155</v>
      </c>
      <c r="C360" t="s">
        <v>4156</v>
      </c>
      <c r="D360" t="s">
        <v>4157</v>
      </c>
      <c r="E360" t="str">
        <f>"569 43"</f>
        <v>569 43</v>
      </c>
      <c r="F360" t="s">
        <v>4158</v>
      </c>
      <c r="G360" t="s">
        <v>1294</v>
      </c>
      <c r="H360" t="s">
        <v>202</v>
      </c>
    </row>
    <row r="361" spans="1:8" x14ac:dyDescent="0.25">
      <c r="A361" s="4" t="str">
        <f>"2641"</f>
        <v>2641</v>
      </c>
      <c r="B361" s="4" t="s">
        <v>4159</v>
      </c>
      <c r="C361" t="s">
        <v>4160</v>
      </c>
      <c r="D361" t="s">
        <v>4161</v>
      </c>
      <c r="E361" t="str">
        <f>"569 65"</f>
        <v>569 65</v>
      </c>
      <c r="F361" t="s">
        <v>4162</v>
      </c>
      <c r="G361" t="s">
        <v>1294</v>
      </c>
      <c r="H361" t="s">
        <v>120</v>
      </c>
    </row>
    <row r="362" spans="1:8" x14ac:dyDescent="0.25">
      <c r="A362" s="4" t="str">
        <f>"705"</f>
        <v>705</v>
      </c>
      <c r="B362" s="4" t="s">
        <v>4175</v>
      </c>
      <c r="C362" t="s">
        <v>4176</v>
      </c>
      <c r="D362" t="s">
        <v>4177</v>
      </c>
      <c r="E362" t="str">
        <f>"390 01"</f>
        <v>390 01</v>
      </c>
      <c r="F362" t="s">
        <v>4178</v>
      </c>
      <c r="G362" t="s">
        <v>1058</v>
      </c>
      <c r="H362" t="s">
        <v>202</v>
      </c>
    </row>
    <row r="363" spans="1:8" x14ac:dyDescent="0.25">
      <c r="A363" s="4" t="str">
        <f>"4056"</f>
        <v>4056</v>
      </c>
      <c r="B363" s="4" t="s">
        <v>4179</v>
      </c>
      <c r="C363" t="s">
        <v>4180</v>
      </c>
      <c r="D363" t="s">
        <v>4181</v>
      </c>
      <c r="E363" t="str">
        <f>"392 01"</f>
        <v>392 01</v>
      </c>
      <c r="F363" t="s">
        <v>4182</v>
      </c>
      <c r="G363" t="s">
        <v>1058</v>
      </c>
      <c r="H363" t="s">
        <v>202</v>
      </c>
    </row>
    <row r="364" spans="1:8" x14ac:dyDescent="0.25">
      <c r="A364" s="4" t="str">
        <f>"1687"</f>
        <v>1687</v>
      </c>
      <c r="B364" s="4" t="s">
        <v>4183</v>
      </c>
      <c r="C364" t="s">
        <v>225</v>
      </c>
      <c r="D364" t="s">
        <v>4184</v>
      </c>
      <c r="E364" t="str">
        <f>"391 55"</f>
        <v>391 55</v>
      </c>
      <c r="F364" t="s">
        <v>4185</v>
      </c>
      <c r="G364" t="s">
        <v>1058</v>
      </c>
      <c r="H364" t="s">
        <v>202</v>
      </c>
    </row>
    <row r="365" spans="1:8" x14ac:dyDescent="0.25">
      <c r="A365" s="4" t="str">
        <f>"2532"</f>
        <v>2532</v>
      </c>
      <c r="B365" s="4" t="s">
        <v>4186</v>
      </c>
      <c r="C365" t="s">
        <v>4187</v>
      </c>
      <c r="D365" t="s">
        <v>4188</v>
      </c>
      <c r="E365" t="str">
        <f>"391 11"</f>
        <v>391 11</v>
      </c>
      <c r="F365" t="s">
        <v>4189</v>
      </c>
      <c r="G365" t="s">
        <v>1058</v>
      </c>
      <c r="H365" t="s">
        <v>120</v>
      </c>
    </row>
    <row r="366" spans="1:8" x14ac:dyDescent="0.25">
      <c r="A366" s="4" t="str">
        <f>"4780"</f>
        <v>4780</v>
      </c>
      <c r="B366" s="4" t="s">
        <v>4190</v>
      </c>
      <c r="C366" t="s">
        <v>225</v>
      </c>
      <c r="D366" t="s">
        <v>4191</v>
      </c>
      <c r="E366" t="str">
        <f>"391 01"</f>
        <v>391 01</v>
      </c>
      <c r="F366" t="s">
        <v>4192</v>
      </c>
      <c r="G366" t="s">
        <v>1058</v>
      </c>
      <c r="H366" t="s">
        <v>202</v>
      </c>
    </row>
    <row r="367" spans="1:8" x14ac:dyDescent="0.25">
      <c r="A367" s="4" t="str">
        <f>"4781"</f>
        <v>4781</v>
      </c>
      <c r="B367" s="4" t="s">
        <v>4193</v>
      </c>
      <c r="C367" t="s">
        <v>225</v>
      </c>
      <c r="D367" t="s">
        <v>4194</v>
      </c>
      <c r="E367" t="str">
        <f>"391 02"</f>
        <v>391 02</v>
      </c>
      <c r="F367" t="s">
        <v>4192</v>
      </c>
      <c r="G367" t="s">
        <v>1058</v>
      </c>
      <c r="H367" t="s">
        <v>202</v>
      </c>
    </row>
    <row r="368" spans="1:8" x14ac:dyDescent="0.25">
      <c r="A368" s="4" t="str">
        <f>"1496"</f>
        <v>1496</v>
      </c>
      <c r="B368" s="4" t="s">
        <v>4267</v>
      </c>
      <c r="C368" t="s">
        <v>4268</v>
      </c>
      <c r="D368" t="s">
        <v>4269</v>
      </c>
      <c r="E368" t="str">
        <f>"347 01"</f>
        <v>347 01</v>
      </c>
      <c r="F368" t="s">
        <v>4270</v>
      </c>
      <c r="G368" t="s">
        <v>1397</v>
      </c>
      <c r="H368" t="s">
        <v>202</v>
      </c>
    </row>
    <row r="369" spans="1:9" x14ac:dyDescent="0.25">
      <c r="A369" s="4" t="str">
        <f>"1510"</f>
        <v>1510</v>
      </c>
      <c r="B369" s="4" t="s">
        <v>4271</v>
      </c>
      <c r="C369" t="s">
        <v>4272</v>
      </c>
      <c r="D369" t="s">
        <v>4273</v>
      </c>
      <c r="E369" t="str">
        <f>"348 15"</f>
        <v>348 15</v>
      </c>
      <c r="F369" t="s">
        <v>4274</v>
      </c>
      <c r="G369" t="s">
        <v>1397</v>
      </c>
      <c r="H369" t="s">
        <v>202</v>
      </c>
    </row>
    <row r="370" spans="1:9" x14ac:dyDescent="0.25">
      <c r="A370" s="4" t="str">
        <f>"4665"</f>
        <v>4665</v>
      </c>
      <c r="B370" s="4" t="s">
        <v>4275</v>
      </c>
      <c r="C370" t="s">
        <v>4276</v>
      </c>
      <c r="D370" t="s">
        <v>4277</v>
      </c>
      <c r="E370" t="str">
        <f>"348 13"</f>
        <v>348 13</v>
      </c>
      <c r="F370" t="s">
        <v>4278</v>
      </c>
      <c r="G370" t="s">
        <v>1397</v>
      </c>
      <c r="H370" t="s">
        <v>120</v>
      </c>
    </row>
    <row r="371" spans="1:9" x14ac:dyDescent="0.25">
      <c r="A371" s="4" t="str">
        <f>"3328"</f>
        <v>3328</v>
      </c>
      <c r="B371" s="4" t="s">
        <v>4279</v>
      </c>
      <c r="C371" t="s">
        <v>4280</v>
      </c>
      <c r="D371" t="s">
        <v>4281</v>
      </c>
      <c r="E371" t="str">
        <f>"415 01"</f>
        <v>415 01</v>
      </c>
      <c r="F371" t="s">
        <v>4282</v>
      </c>
      <c r="G371" t="s">
        <v>1311</v>
      </c>
      <c r="H371" t="s">
        <v>202</v>
      </c>
      <c r="I371" t="s">
        <v>4283</v>
      </c>
    </row>
    <row r="372" spans="1:9" x14ac:dyDescent="0.25">
      <c r="A372" s="4" t="str">
        <f>"31"</f>
        <v>31</v>
      </c>
      <c r="B372" s="4" t="s">
        <v>4288</v>
      </c>
      <c r="C372" t="s">
        <v>4289</v>
      </c>
      <c r="D372" t="s">
        <v>4290</v>
      </c>
      <c r="E372" t="str">
        <f>"418 01"</f>
        <v>418 01</v>
      </c>
      <c r="F372" t="s">
        <v>4291</v>
      </c>
      <c r="G372" t="s">
        <v>1311</v>
      </c>
      <c r="H372" t="s">
        <v>202</v>
      </c>
    </row>
    <row r="373" spans="1:9" x14ac:dyDescent="0.25">
      <c r="A373" s="4" t="str">
        <f>"2293"</f>
        <v>2293</v>
      </c>
      <c r="B373" s="4" t="s">
        <v>4343</v>
      </c>
      <c r="C373" t="s">
        <v>4344</v>
      </c>
      <c r="D373" t="s">
        <v>4345</v>
      </c>
      <c r="E373" t="str">
        <f>"674 01"</f>
        <v>674 01</v>
      </c>
      <c r="F373" t="s">
        <v>4346</v>
      </c>
      <c r="G373" t="s">
        <v>1509</v>
      </c>
      <c r="H373" t="s">
        <v>202</v>
      </c>
    </row>
    <row r="374" spans="1:9" x14ac:dyDescent="0.25">
      <c r="A374" s="4" t="str">
        <f>"1989"</f>
        <v>1989</v>
      </c>
      <c r="B374" s="4" t="s">
        <v>4347</v>
      </c>
      <c r="C374" t="s">
        <v>225</v>
      </c>
      <c r="D374" t="s">
        <v>4348</v>
      </c>
      <c r="E374" t="str">
        <f>"676 02"</f>
        <v>676 02</v>
      </c>
      <c r="F374" t="s">
        <v>4349</v>
      </c>
      <c r="G374" t="s">
        <v>1509</v>
      </c>
      <c r="H374" t="s">
        <v>202</v>
      </c>
    </row>
    <row r="375" spans="1:9" x14ac:dyDescent="0.25">
      <c r="A375" s="4" t="str">
        <f>"2377"</f>
        <v>2377</v>
      </c>
      <c r="B375" s="4" t="s">
        <v>4350</v>
      </c>
      <c r="C375" t="s">
        <v>225</v>
      </c>
      <c r="D375" t="s">
        <v>4351</v>
      </c>
      <c r="E375" t="str">
        <f>"675 55"</f>
        <v>675 55</v>
      </c>
      <c r="F375" t="s">
        <v>4352</v>
      </c>
      <c r="G375" t="s">
        <v>1509</v>
      </c>
      <c r="H375" t="s">
        <v>202</v>
      </c>
    </row>
    <row r="376" spans="1:9" x14ac:dyDescent="0.25">
      <c r="A376" s="4" t="str">
        <f>"1516"</f>
        <v>1516</v>
      </c>
      <c r="B376" s="4" t="s">
        <v>4353</v>
      </c>
      <c r="C376" t="s">
        <v>4354</v>
      </c>
      <c r="D376" t="s">
        <v>4355</v>
      </c>
      <c r="E376" t="str">
        <f>"675 21"</f>
        <v>675 21</v>
      </c>
      <c r="F376" t="s">
        <v>4356</v>
      </c>
      <c r="G376" t="s">
        <v>1509</v>
      </c>
      <c r="H376" t="s">
        <v>120</v>
      </c>
    </row>
    <row r="377" spans="1:9" x14ac:dyDescent="0.25">
      <c r="A377" s="4">
        <v>267</v>
      </c>
      <c r="C377" t="s">
        <v>5272</v>
      </c>
      <c r="D377" t="s">
        <v>5274</v>
      </c>
      <c r="E377" t="s">
        <v>5273</v>
      </c>
      <c r="F377" t="s">
        <v>2128</v>
      </c>
      <c r="G377" t="s">
        <v>5275</v>
      </c>
      <c r="H377" t="s">
        <v>5276</v>
      </c>
    </row>
    <row r="378" spans="1:9" x14ac:dyDescent="0.25">
      <c r="A378" s="4" t="str">
        <f>"517"</f>
        <v>517</v>
      </c>
      <c r="B378" s="4" t="s">
        <v>4363</v>
      </c>
      <c r="C378" t="s">
        <v>4364</v>
      </c>
      <c r="D378" t="s">
        <v>4365</v>
      </c>
      <c r="E378" t="str">
        <f>"541 01"</f>
        <v>541 01</v>
      </c>
      <c r="F378" t="s">
        <v>4366</v>
      </c>
      <c r="G378" t="s">
        <v>1536</v>
      </c>
      <c r="H378" t="s">
        <v>202</v>
      </c>
    </row>
    <row r="379" spans="1:9" x14ac:dyDescent="0.25">
      <c r="A379" s="4" t="str">
        <f>"1157"</f>
        <v>1157</v>
      </c>
      <c r="B379" s="4" t="s">
        <v>4367</v>
      </c>
      <c r="C379" t="s">
        <v>225</v>
      </c>
      <c r="D379" t="s">
        <v>4368</v>
      </c>
      <c r="E379" t="str">
        <f>"543 01"</f>
        <v>543 01</v>
      </c>
      <c r="F379" t="s">
        <v>4369</v>
      </c>
      <c r="G379" t="s">
        <v>1536</v>
      </c>
      <c r="H379" t="s">
        <v>202</v>
      </c>
    </row>
    <row r="380" spans="1:9" x14ac:dyDescent="0.25">
      <c r="A380" s="4" t="str">
        <f>"114"</f>
        <v>114</v>
      </c>
      <c r="B380" s="4" t="s">
        <v>4370</v>
      </c>
      <c r="C380" t="s">
        <v>4371</v>
      </c>
      <c r="D380" t="s">
        <v>4372</v>
      </c>
      <c r="E380" t="str">
        <f>"544 01"</f>
        <v>544 01</v>
      </c>
      <c r="F380" t="s">
        <v>4373</v>
      </c>
      <c r="G380" t="s">
        <v>1536</v>
      </c>
      <c r="H380" t="s">
        <v>202</v>
      </c>
    </row>
    <row r="381" spans="1:9" x14ac:dyDescent="0.25">
      <c r="A381" s="4" t="str">
        <f>"115"</f>
        <v>115</v>
      </c>
      <c r="B381" s="4" t="s">
        <v>4374</v>
      </c>
      <c r="C381" t="s">
        <v>4375</v>
      </c>
      <c r="D381" t="s">
        <v>4376</v>
      </c>
      <c r="E381" t="str">
        <f>"542 32"</f>
        <v>542 32</v>
      </c>
      <c r="F381" t="s">
        <v>4377</v>
      </c>
      <c r="G381" t="s">
        <v>1536</v>
      </c>
      <c r="H381" t="s">
        <v>202</v>
      </c>
    </row>
    <row r="382" spans="1:9" x14ac:dyDescent="0.25">
      <c r="A382" s="4" t="str">
        <f>"4280"</f>
        <v>4280</v>
      </c>
      <c r="B382" s="4" t="s">
        <v>4378</v>
      </c>
      <c r="C382" t="s">
        <v>4379</v>
      </c>
      <c r="D382" t="s">
        <v>4380</v>
      </c>
      <c r="E382" t="str">
        <f>"543 51"</f>
        <v>543 51</v>
      </c>
      <c r="F382" t="s">
        <v>4381</v>
      </c>
      <c r="G382" t="s">
        <v>1536</v>
      </c>
      <c r="H382" t="s">
        <v>202</v>
      </c>
    </row>
    <row r="383" spans="1:9" x14ac:dyDescent="0.25">
      <c r="A383" s="4" t="str">
        <f>"1031"</f>
        <v>1031</v>
      </c>
      <c r="B383" s="4" t="s">
        <v>4382</v>
      </c>
      <c r="C383" t="s">
        <v>4383</v>
      </c>
      <c r="D383" t="s">
        <v>4384</v>
      </c>
      <c r="E383" t="str">
        <f>"686 01"</f>
        <v>686 01</v>
      </c>
      <c r="F383" t="s">
        <v>4385</v>
      </c>
      <c r="G383" t="s">
        <v>2129</v>
      </c>
      <c r="H383" t="s">
        <v>202</v>
      </c>
    </row>
    <row r="384" spans="1:9" x14ac:dyDescent="0.25">
      <c r="A384" s="4" t="str">
        <f>"1096"</f>
        <v>1096</v>
      </c>
      <c r="B384" s="4" t="s">
        <v>4389</v>
      </c>
      <c r="C384" t="s">
        <v>4390</v>
      </c>
      <c r="D384" t="s">
        <v>4391</v>
      </c>
      <c r="E384" t="str">
        <f>"688 01"</f>
        <v>688 01</v>
      </c>
      <c r="F384" t="s">
        <v>4392</v>
      </c>
      <c r="G384" t="s">
        <v>2129</v>
      </c>
      <c r="H384" t="s">
        <v>202</v>
      </c>
      <c r="I384" t="s">
        <v>4393</v>
      </c>
    </row>
    <row r="385" spans="1:9" x14ac:dyDescent="0.25">
      <c r="A385" s="4" t="str">
        <f>"1060"</f>
        <v>1060</v>
      </c>
      <c r="B385" s="4" t="s">
        <v>4399</v>
      </c>
      <c r="C385" t="s">
        <v>4400</v>
      </c>
      <c r="D385" t="s">
        <v>4401</v>
      </c>
      <c r="E385" t="str">
        <f>"686 04"</f>
        <v>686 04</v>
      </c>
      <c r="F385" t="s">
        <v>4402</v>
      </c>
      <c r="G385" t="s">
        <v>2129</v>
      </c>
      <c r="H385" t="s">
        <v>120</v>
      </c>
      <c r="I385" t="s">
        <v>1427</v>
      </c>
    </row>
    <row r="386" spans="1:9" x14ac:dyDescent="0.25">
      <c r="A386" s="4" t="str">
        <f>"1082"</f>
        <v>1082</v>
      </c>
      <c r="B386" s="4" t="s">
        <v>4403</v>
      </c>
      <c r="C386" t="s">
        <v>4404</v>
      </c>
      <c r="D386" t="s">
        <v>4405</v>
      </c>
      <c r="E386" t="str">
        <f>"686 03"</f>
        <v>686 03</v>
      </c>
      <c r="F386" t="s">
        <v>4406</v>
      </c>
      <c r="G386" t="s">
        <v>2129</v>
      </c>
      <c r="H386" t="s">
        <v>120</v>
      </c>
      <c r="I386" t="s">
        <v>4407</v>
      </c>
    </row>
    <row r="387" spans="1:9" x14ac:dyDescent="0.25">
      <c r="A387" s="4" t="str">
        <f>"1084"</f>
        <v>1084</v>
      </c>
      <c r="B387" s="4" t="s">
        <v>4412</v>
      </c>
      <c r="C387" t="s">
        <v>4413</v>
      </c>
      <c r="D387" t="s">
        <v>4414</v>
      </c>
      <c r="E387" t="str">
        <f>"687 74"</f>
        <v>687 74</v>
      </c>
      <c r="F387" t="s">
        <v>4415</v>
      </c>
      <c r="G387" t="s">
        <v>2129</v>
      </c>
      <c r="H387" t="s">
        <v>120</v>
      </c>
      <c r="I387" t="s">
        <v>4416</v>
      </c>
    </row>
    <row r="388" spans="1:9" x14ac:dyDescent="0.25">
      <c r="A388" s="4" t="str">
        <f>"1064"</f>
        <v>1064</v>
      </c>
      <c r="B388" s="4" t="s">
        <v>4425</v>
      </c>
      <c r="C388" t="s">
        <v>4426</v>
      </c>
      <c r="D388" t="s">
        <v>4427</v>
      </c>
      <c r="E388" t="str">
        <f>"687 06"</f>
        <v>687 06</v>
      </c>
      <c r="F388" t="s">
        <v>4428</v>
      </c>
      <c r="G388" t="s">
        <v>2129</v>
      </c>
      <c r="H388" t="s">
        <v>120</v>
      </c>
      <c r="I388" t="s">
        <v>1427</v>
      </c>
    </row>
    <row r="389" spans="1:9" x14ac:dyDescent="0.25">
      <c r="A389" s="4" t="str">
        <f>"1088"</f>
        <v>1088</v>
      </c>
      <c r="B389" s="4" t="s">
        <v>4433</v>
      </c>
      <c r="C389" t="s">
        <v>4434</v>
      </c>
      <c r="D389" t="s">
        <v>4435</v>
      </c>
      <c r="E389" t="str">
        <f>"687 53"</f>
        <v>687 53</v>
      </c>
      <c r="F389" t="s">
        <v>4436</v>
      </c>
      <c r="G389" t="s">
        <v>2129</v>
      </c>
      <c r="H389" t="s">
        <v>120</v>
      </c>
    </row>
    <row r="390" spans="1:9" x14ac:dyDescent="0.25">
      <c r="A390" s="4" t="str">
        <f>"5774"</f>
        <v>5774</v>
      </c>
      <c r="B390" s="4" t="s">
        <v>4453</v>
      </c>
      <c r="C390" t="s">
        <v>4454</v>
      </c>
      <c r="D390" t="s">
        <v>4455</v>
      </c>
      <c r="E390" t="str">
        <f>"688 01"</f>
        <v>688 01</v>
      </c>
      <c r="F390" t="s">
        <v>4392</v>
      </c>
      <c r="G390" t="s">
        <v>2129</v>
      </c>
      <c r="H390" t="s">
        <v>120</v>
      </c>
    </row>
    <row r="391" spans="1:9" x14ac:dyDescent="0.25">
      <c r="A391" s="4" t="str">
        <f>"6474"</f>
        <v>6474</v>
      </c>
      <c r="B391" s="4" t="s">
        <v>4456</v>
      </c>
      <c r="C391" t="s">
        <v>4457</v>
      </c>
      <c r="D391" t="s">
        <v>4458</v>
      </c>
      <c r="E391" t="str">
        <f>"400 96"</f>
        <v>400 96</v>
      </c>
      <c r="F391" t="s">
        <v>4459</v>
      </c>
      <c r="G391" t="s">
        <v>1311</v>
      </c>
      <c r="H391" t="s">
        <v>21</v>
      </c>
    </row>
    <row r="392" spans="1:9" x14ac:dyDescent="0.25">
      <c r="A392" s="4" t="str">
        <f>"2477"</f>
        <v>2477</v>
      </c>
      <c r="B392" s="4" t="s">
        <v>4460</v>
      </c>
      <c r="C392" t="s">
        <v>4461</v>
      </c>
      <c r="D392" t="s">
        <v>4462</v>
      </c>
      <c r="E392" t="str">
        <f>"401 13"</f>
        <v>401 13</v>
      </c>
      <c r="F392" t="s">
        <v>4459</v>
      </c>
      <c r="G392" t="s">
        <v>1311</v>
      </c>
      <c r="H392" t="s">
        <v>92</v>
      </c>
      <c r="I392" t="s">
        <v>4463</v>
      </c>
    </row>
    <row r="393" spans="1:9" x14ac:dyDescent="0.25">
      <c r="A393" s="4" t="str">
        <f>"405"</f>
        <v>405</v>
      </c>
      <c r="B393" s="4" t="s">
        <v>4464</v>
      </c>
      <c r="C393" t="s">
        <v>4465</v>
      </c>
      <c r="D393" t="s">
        <v>4466</v>
      </c>
      <c r="E393" t="str">
        <f>"401 34"</f>
        <v>401 34</v>
      </c>
      <c r="F393" t="s">
        <v>4459</v>
      </c>
      <c r="G393" t="s">
        <v>1311</v>
      </c>
      <c r="H393" t="s">
        <v>115</v>
      </c>
    </row>
    <row r="394" spans="1:9" x14ac:dyDescent="0.25">
      <c r="A394" s="4" t="str">
        <f>"266"</f>
        <v>266</v>
      </c>
      <c r="B394" s="4" t="s">
        <v>4467</v>
      </c>
      <c r="C394" t="s">
        <v>225</v>
      </c>
      <c r="D394" t="s">
        <v>4468</v>
      </c>
      <c r="E394" t="str">
        <f>"562 01"</f>
        <v>562 01</v>
      </c>
      <c r="F394" t="s">
        <v>4469</v>
      </c>
      <c r="G394" t="s">
        <v>1294</v>
      </c>
      <c r="H394" t="s">
        <v>202</v>
      </c>
    </row>
    <row r="395" spans="1:9" x14ac:dyDescent="0.25">
      <c r="A395" s="4" t="str">
        <f>"4013"</f>
        <v>4013</v>
      </c>
      <c r="B395" s="4" t="s">
        <v>4470</v>
      </c>
      <c r="C395" t="s">
        <v>4471</v>
      </c>
      <c r="D395" t="s">
        <v>4472</v>
      </c>
      <c r="E395" t="str">
        <f>"561 69"</f>
        <v>561 69</v>
      </c>
      <c r="F395" t="s">
        <v>4473</v>
      </c>
      <c r="G395" t="s">
        <v>1294</v>
      </c>
      <c r="H395" t="s">
        <v>202</v>
      </c>
    </row>
    <row r="396" spans="1:9" x14ac:dyDescent="0.25">
      <c r="A396" s="4" t="str">
        <f>"1757"</f>
        <v>1757</v>
      </c>
      <c r="B396" s="4" t="s">
        <v>4474</v>
      </c>
      <c r="C396" t="s">
        <v>4475</v>
      </c>
      <c r="D396" t="s">
        <v>4476</v>
      </c>
      <c r="E396" t="str">
        <f>"565 01"</f>
        <v>565 01</v>
      </c>
      <c r="F396" t="s">
        <v>4477</v>
      </c>
      <c r="G396" t="s">
        <v>1294</v>
      </c>
      <c r="H396" t="s">
        <v>202</v>
      </c>
    </row>
    <row r="397" spans="1:9" x14ac:dyDescent="0.25">
      <c r="A397" s="4" t="str">
        <f>"1599"</f>
        <v>1599</v>
      </c>
      <c r="B397" s="4" t="s">
        <v>4478</v>
      </c>
      <c r="C397" t="s">
        <v>225</v>
      </c>
      <c r="D397" t="s">
        <v>4479</v>
      </c>
      <c r="E397" t="str">
        <f>"563 01"</f>
        <v>563 01</v>
      </c>
      <c r="F397" t="s">
        <v>4480</v>
      </c>
      <c r="G397" t="s">
        <v>1294</v>
      </c>
      <c r="H397" t="s">
        <v>202</v>
      </c>
    </row>
    <row r="398" spans="1:9" x14ac:dyDescent="0.25">
      <c r="A398" s="4" t="str">
        <f>"1982/2002"</f>
        <v>1982/2002</v>
      </c>
      <c r="B398" s="4" t="s">
        <v>4481</v>
      </c>
      <c r="C398" t="s">
        <v>4482</v>
      </c>
      <c r="D398" t="s">
        <v>4483</v>
      </c>
      <c r="E398" t="str">
        <f>"561 51"</f>
        <v>561 51</v>
      </c>
      <c r="F398" t="s">
        <v>4484</v>
      </c>
      <c r="G398" t="s">
        <v>1294</v>
      </c>
      <c r="H398" t="s">
        <v>202</v>
      </c>
    </row>
    <row r="399" spans="1:9" x14ac:dyDescent="0.25">
      <c r="A399" s="4" t="str">
        <f>"1403"</f>
        <v>1403</v>
      </c>
      <c r="B399" s="4" t="s">
        <v>4485</v>
      </c>
      <c r="C399" t="s">
        <v>4486</v>
      </c>
      <c r="D399" t="s">
        <v>4487</v>
      </c>
      <c r="E399" t="str">
        <f>"560 02"</f>
        <v>560 02</v>
      </c>
      <c r="F399" t="s">
        <v>4488</v>
      </c>
      <c r="G399" t="s">
        <v>1294</v>
      </c>
      <c r="H399" t="s">
        <v>202</v>
      </c>
    </row>
    <row r="400" spans="1:9" x14ac:dyDescent="0.25">
      <c r="A400" s="4" t="str">
        <f>"2764"</f>
        <v>2764</v>
      </c>
      <c r="B400" s="4" t="s">
        <v>4492</v>
      </c>
      <c r="C400" t="s">
        <v>225</v>
      </c>
      <c r="D400" t="s">
        <v>4493</v>
      </c>
      <c r="E400" t="str">
        <f>"561 64"</f>
        <v>561 64</v>
      </c>
      <c r="F400" t="s">
        <v>4494</v>
      </c>
      <c r="G400" t="s">
        <v>1294</v>
      </c>
      <c r="H400" t="s">
        <v>202</v>
      </c>
    </row>
    <row r="401" spans="1:9" x14ac:dyDescent="0.25">
      <c r="A401" s="4" t="str">
        <f>"2597"</f>
        <v>2597</v>
      </c>
      <c r="B401" s="4" t="s">
        <v>4495</v>
      </c>
      <c r="C401" t="s">
        <v>4496</v>
      </c>
      <c r="D401" t="s">
        <v>4497</v>
      </c>
      <c r="E401" t="str">
        <f>"564 01"</f>
        <v>564 01</v>
      </c>
      <c r="F401" t="s">
        <v>4498</v>
      </c>
      <c r="G401" t="s">
        <v>1294</v>
      </c>
      <c r="H401" t="s">
        <v>202</v>
      </c>
    </row>
    <row r="402" spans="1:9" x14ac:dyDescent="0.25">
      <c r="A402" s="4" t="str">
        <f>"1795"</f>
        <v>1795</v>
      </c>
      <c r="B402" s="4" t="s">
        <v>4499</v>
      </c>
      <c r="C402" t="s">
        <v>4500</v>
      </c>
      <c r="D402" t="s">
        <v>4501</v>
      </c>
      <c r="E402" t="str">
        <f>"755 11"</f>
        <v>755 11</v>
      </c>
      <c r="F402" t="s">
        <v>4502</v>
      </c>
      <c r="G402" t="s">
        <v>2129</v>
      </c>
      <c r="H402" t="s">
        <v>202</v>
      </c>
    </row>
    <row r="403" spans="1:9" x14ac:dyDescent="0.25">
      <c r="A403" s="4" t="str">
        <f>"44"</f>
        <v>44</v>
      </c>
      <c r="B403" s="4" t="s">
        <v>4503</v>
      </c>
      <c r="C403" t="s">
        <v>4504</v>
      </c>
      <c r="D403" t="s">
        <v>4505</v>
      </c>
      <c r="E403" t="str">
        <f>"757 01"</f>
        <v>757 01</v>
      </c>
      <c r="F403" t="s">
        <v>4506</v>
      </c>
      <c r="G403" t="s">
        <v>2129</v>
      </c>
      <c r="H403" t="s">
        <v>202</v>
      </c>
    </row>
    <row r="404" spans="1:9" x14ac:dyDescent="0.25">
      <c r="A404" s="4" t="str">
        <f>"1393"</f>
        <v>1393</v>
      </c>
      <c r="B404" s="4" t="s">
        <v>4507</v>
      </c>
      <c r="C404" t="s">
        <v>4508</v>
      </c>
      <c r="D404" t="s">
        <v>4509</v>
      </c>
      <c r="E404" t="str">
        <f>"756 61"</f>
        <v>756 61</v>
      </c>
      <c r="F404" t="s">
        <v>4510</v>
      </c>
      <c r="G404" t="s">
        <v>2129</v>
      </c>
      <c r="H404" t="s">
        <v>202</v>
      </c>
    </row>
    <row r="405" spans="1:9" x14ac:dyDescent="0.25">
      <c r="A405" s="4" t="str">
        <f>"519"</f>
        <v>519</v>
      </c>
      <c r="B405" s="4" t="s">
        <v>4514</v>
      </c>
      <c r="C405" t="s">
        <v>4515</v>
      </c>
      <c r="D405" t="s">
        <v>4516</v>
      </c>
      <c r="E405" t="str">
        <f>"756 54"</f>
        <v>756 54</v>
      </c>
      <c r="F405" t="s">
        <v>4517</v>
      </c>
      <c r="G405" t="s">
        <v>2129</v>
      </c>
      <c r="H405" t="s">
        <v>120</v>
      </c>
    </row>
    <row r="406" spans="1:9" x14ac:dyDescent="0.25">
      <c r="A406" s="4" t="str">
        <f>"641"</f>
        <v>641</v>
      </c>
      <c r="B406" s="4" t="s">
        <v>4526</v>
      </c>
      <c r="C406" t="s">
        <v>4527</v>
      </c>
      <c r="D406" t="s">
        <v>4528</v>
      </c>
      <c r="E406" t="str">
        <f>"756 65"</f>
        <v>756 65</v>
      </c>
      <c r="F406" t="s">
        <v>4529</v>
      </c>
      <c r="G406" t="s">
        <v>2129</v>
      </c>
      <c r="H406" t="s">
        <v>120</v>
      </c>
      <c r="I406" t="s">
        <v>4530</v>
      </c>
    </row>
    <row r="407" spans="1:9" x14ac:dyDescent="0.25">
      <c r="A407" s="4" t="str">
        <f>"1436"</f>
        <v>1436</v>
      </c>
      <c r="B407" s="4" t="s">
        <v>4550</v>
      </c>
      <c r="C407" t="s">
        <v>4551</v>
      </c>
      <c r="D407" t="s">
        <v>4552</v>
      </c>
      <c r="E407" t="str">
        <f>"756 03"</f>
        <v>756 03</v>
      </c>
      <c r="F407" t="s">
        <v>4553</v>
      </c>
      <c r="G407" t="s">
        <v>2129</v>
      </c>
      <c r="H407" t="s">
        <v>120</v>
      </c>
      <c r="I407" t="s">
        <v>4554</v>
      </c>
    </row>
    <row r="408" spans="1:9" x14ac:dyDescent="0.25">
      <c r="A408" s="4" t="str">
        <f>"689"</f>
        <v>689</v>
      </c>
      <c r="B408" s="4" t="s">
        <v>4555</v>
      </c>
      <c r="C408" t="s">
        <v>127</v>
      </c>
      <c r="D408" t="s">
        <v>4556</v>
      </c>
      <c r="E408" t="str">
        <f>"756 55"</f>
        <v>756 55</v>
      </c>
      <c r="F408" t="s">
        <v>4557</v>
      </c>
      <c r="G408" t="s">
        <v>2129</v>
      </c>
      <c r="H408" t="s">
        <v>120</v>
      </c>
    </row>
    <row r="409" spans="1:9" x14ac:dyDescent="0.25">
      <c r="A409" s="4" t="str">
        <f>"278"</f>
        <v>278</v>
      </c>
      <c r="B409" s="4" t="s">
        <v>4562</v>
      </c>
      <c r="C409" t="s">
        <v>4563</v>
      </c>
      <c r="D409" t="s">
        <v>4564</v>
      </c>
      <c r="E409" t="str">
        <f>"756 53"</f>
        <v>756 53</v>
      </c>
      <c r="F409" t="s">
        <v>4565</v>
      </c>
      <c r="G409" t="s">
        <v>2129</v>
      </c>
      <c r="H409" t="s">
        <v>120</v>
      </c>
    </row>
    <row r="410" spans="1:9" x14ac:dyDescent="0.25">
      <c r="A410" s="4" t="str">
        <f>"669"</f>
        <v>669</v>
      </c>
      <c r="B410" s="4" t="s">
        <v>4570</v>
      </c>
      <c r="C410" t="s">
        <v>4571</v>
      </c>
      <c r="D410" t="s">
        <v>4572</v>
      </c>
      <c r="E410" t="str">
        <f>"756 61"</f>
        <v>756 61</v>
      </c>
      <c r="F410" t="s">
        <v>4573</v>
      </c>
      <c r="G410" t="s">
        <v>2129</v>
      </c>
      <c r="H410" t="s">
        <v>120</v>
      </c>
    </row>
    <row r="411" spans="1:9" x14ac:dyDescent="0.25">
      <c r="A411" s="4" t="str">
        <f>"846"</f>
        <v>846</v>
      </c>
      <c r="B411" s="4" t="s">
        <v>4574</v>
      </c>
      <c r="C411" t="s">
        <v>4575</v>
      </c>
      <c r="D411" t="s">
        <v>4576</v>
      </c>
      <c r="E411" t="str">
        <f>"756 52"</f>
        <v>756 52</v>
      </c>
      <c r="F411" t="s">
        <v>4577</v>
      </c>
      <c r="G411" t="s">
        <v>2129</v>
      </c>
      <c r="H411" t="s">
        <v>120</v>
      </c>
    </row>
    <row r="412" spans="1:9" x14ac:dyDescent="0.25">
      <c r="A412" s="4" t="str">
        <f>"1214"</f>
        <v>1214</v>
      </c>
      <c r="B412" s="4" t="s">
        <v>4582</v>
      </c>
      <c r="C412" t="s">
        <v>4583</v>
      </c>
      <c r="D412" t="s">
        <v>4584</v>
      </c>
      <c r="E412" t="str">
        <f>"756 62"</f>
        <v>756 62</v>
      </c>
      <c r="F412" t="s">
        <v>4585</v>
      </c>
      <c r="G412" t="s">
        <v>2129</v>
      </c>
      <c r="H412" t="s">
        <v>120</v>
      </c>
    </row>
    <row r="413" spans="1:9" x14ac:dyDescent="0.25">
      <c r="A413" s="4" t="str">
        <f>"1670"</f>
        <v>1670</v>
      </c>
      <c r="B413" s="4" t="s">
        <v>4590</v>
      </c>
      <c r="C413" t="s">
        <v>4591</v>
      </c>
      <c r="D413" t="s">
        <v>4592</v>
      </c>
      <c r="E413" t="str">
        <f>"763 02"</f>
        <v>763 02</v>
      </c>
      <c r="F413" t="s">
        <v>4593</v>
      </c>
      <c r="G413" t="s">
        <v>2129</v>
      </c>
      <c r="H413" t="s">
        <v>120</v>
      </c>
    </row>
    <row r="414" spans="1:9" x14ac:dyDescent="0.25">
      <c r="A414" s="4" t="str">
        <f>"6485"</f>
        <v>6485</v>
      </c>
      <c r="B414" s="4" t="s">
        <v>4606</v>
      </c>
      <c r="C414" t="s">
        <v>4607</v>
      </c>
      <c r="D414" t="s">
        <v>4608</v>
      </c>
      <c r="E414" t="str">
        <f>"757 01"</f>
        <v>757 01</v>
      </c>
      <c r="F414" t="s">
        <v>4609</v>
      </c>
      <c r="G414" t="s">
        <v>2129</v>
      </c>
      <c r="H414" t="s">
        <v>120</v>
      </c>
      <c r="I414" t="s">
        <v>3306</v>
      </c>
    </row>
    <row r="415" spans="1:9" x14ac:dyDescent="0.25">
      <c r="A415" s="4" t="str">
        <f>"5336"</f>
        <v>5336</v>
      </c>
      <c r="B415" s="4" t="s">
        <v>4610</v>
      </c>
      <c r="C415" t="s">
        <v>4611</v>
      </c>
      <c r="D415" t="s">
        <v>4612</v>
      </c>
      <c r="E415" t="str">
        <f>"757 01"</f>
        <v>757 01</v>
      </c>
      <c r="F415" t="s">
        <v>4506</v>
      </c>
      <c r="G415" t="s">
        <v>2129</v>
      </c>
      <c r="H415" t="s">
        <v>705</v>
      </c>
    </row>
    <row r="416" spans="1:9" x14ac:dyDescent="0.25">
      <c r="A416" s="4" t="str">
        <f>"1190"</f>
        <v>1190</v>
      </c>
      <c r="B416" s="4" t="s">
        <v>4613</v>
      </c>
      <c r="C416" t="s">
        <v>4614</v>
      </c>
      <c r="D416" t="s">
        <v>4615</v>
      </c>
      <c r="E416" t="str">
        <f>"682 01"</f>
        <v>682 01</v>
      </c>
      <c r="F416" t="s">
        <v>4616</v>
      </c>
      <c r="G416" t="s">
        <v>675</v>
      </c>
      <c r="H416" t="s">
        <v>202</v>
      </c>
    </row>
    <row r="417" spans="1:9" x14ac:dyDescent="0.25">
      <c r="A417" s="4" t="str">
        <f>"4309"</f>
        <v>4309</v>
      </c>
      <c r="B417" s="4" t="s">
        <v>4641</v>
      </c>
      <c r="C417" t="s">
        <v>4642</v>
      </c>
      <c r="D417" t="s">
        <v>4643</v>
      </c>
      <c r="E417" t="str">
        <f>"685 01"</f>
        <v>685 01</v>
      </c>
      <c r="F417" t="s">
        <v>4644</v>
      </c>
      <c r="G417" t="s">
        <v>675</v>
      </c>
      <c r="H417" t="s">
        <v>202</v>
      </c>
    </row>
    <row r="418" spans="1:9" x14ac:dyDescent="0.25">
      <c r="A418" s="4" t="str">
        <f>"513"</f>
        <v>513</v>
      </c>
      <c r="B418" s="4" t="s">
        <v>4900</v>
      </c>
      <c r="C418" t="s">
        <v>4901</v>
      </c>
      <c r="D418" t="s">
        <v>4902</v>
      </c>
      <c r="E418" t="str">
        <f>"760 01"</f>
        <v>760 01</v>
      </c>
      <c r="F418" t="s">
        <v>4903</v>
      </c>
      <c r="G418" t="s">
        <v>2129</v>
      </c>
      <c r="H418" t="s">
        <v>202</v>
      </c>
    </row>
    <row r="419" spans="1:9" x14ac:dyDescent="0.25">
      <c r="A419" s="4" t="str">
        <f>"340"</f>
        <v>340</v>
      </c>
      <c r="B419" s="4" t="s">
        <v>4918</v>
      </c>
      <c r="C419" t="s">
        <v>4919</v>
      </c>
      <c r="D419" t="s">
        <v>4920</v>
      </c>
      <c r="E419" t="str">
        <f>"763 21"</f>
        <v>763 21</v>
      </c>
      <c r="F419" t="s">
        <v>4921</v>
      </c>
      <c r="G419" t="s">
        <v>2129</v>
      </c>
      <c r="H419" t="s">
        <v>202</v>
      </c>
    </row>
    <row r="420" spans="1:9" x14ac:dyDescent="0.25">
      <c r="A420" s="4" t="str">
        <f>"1500"</f>
        <v>1500</v>
      </c>
      <c r="B420" s="4" t="s">
        <v>4922</v>
      </c>
      <c r="C420" t="s">
        <v>225</v>
      </c>
      <c r="D420" t="s">
        <v>4923</v>
      </c>
      <c r="E420" t="str">
        <f>"766 01"</f>
        <v>766 01</v>
      </c>
      <c r="F420" t="s">
        <v>4924</v>
      </c>
      <c r="G420" t="s">
        <v>2129</v>
      </c>
      <c r="H420" t="s">
        <v>202</v>
      </c>
      <c r="I420" t="s">
        <v>4925</v>
      </c>
    </row>
    <row r="421" spans="1:9" x14ac:dyDescent="0.25">
      <c r="A421" s="4" t="str">
        <f>"455"</f>
        <v>455</v>
      </c>
      <c r="B421" s="4" t="s">
        <v>4926</v>
      </c>
      <c r="C421" t="s">
        <v>4927</v>
      </c>
      <c r="D421" t="s">
        <v>4928</v>
      </c>
      <c r="E421" t="str">
        <f>"763 31"</f>
        <v>763 31</v>
      </c>
      <c r="F421" t="s">
        <v>4929</v>
      </c>
      <c r="G421" t="s">
        <v>2129</v>
      </c>
      <c r="H421" t="s">
        <v>202</v>
      </c>
    </row>
    <row r="422" spans="1:9" x14ac:dyDescent="0.25">
      <c r="A422" s="4" t="str">
        <f>"300"</f>
        <v>300</v>
      </c>
      <c r="B422" s="4" t="s">
        <v>4930</v>
      </c>
      <c r="C422" t="s">
        <v>4931</v>
      </c>
      <c r="D422" t="s">
        <v>4932</v>
      </c>
      <c r="E422" t="str">
        <f>"763 61"</f>
        <v>763 61</v>
      </c>
      <c r="F422" t="s">
        <v>4933</v>
      </c>
      <c r="G422" t="s">
        <v>2129</v>
      </c>
      <c r="H422" t="s">
        <v>202</v>
      </c>
    </row>
    <row r="423" spans="1:9" x14ac:dyDescent="0.25">
      <c r="A423" s="4" t="str">
        <f>"307"</f>
        <v>307</v>
      </c>
      <c r="B423" s="4" t="s">
        <v>4934</v>
      </c>
      <c r="C423" t="s">
        <v>4935</v>
      </c>
      <c r="D423" t="s">
        <v>4936</v>
      </c>
      <c r="E423" t="str">
        <f>"763 26"</f>
        <v>763 26</v>
      </c>
      <c r="F423" t="s">
        <v>4937</v>
      </c>
      <c r="G423" t="s">
        <v>2129</v>
      </c>
      <c r="H423" t="s">
        <v>202</v>
      </c>
    </row>
    <row r="424" spans="1:9" x14ac:dyDescent="0.25">
      <c r="A424" s="4" t="str">
        <f>"1170"</f>
        <v>1170</v>
      </c>
      <c r="B424" s="4" t="s">
        <v>4938</v>
      </c>
      <c r="C424" t="s">
        <v>4939</v>
      </c>
      <c r="D424" t="s">
        <v>4940</v>
      </c>
      <c r="E424" t="str">
        <f>"763 12"</f>
        <v>763 12</v>
      </c>
      <c r="F424" t="s">
        <v>4941</v>
      </c>
      <c r="G424" t="s">
        <v>2129</v>
      </c>
      <c r="H424" t="s">
        <v>202</v>
      </c>
    </row>
    <row r="425" spans="1:9" x14ac:dyDescent="0.25">
      <c r="A425" s="4" t="str">
        <f>"1804"</f>
        <v>1804</v>
      </c>
      <c r="B425" s="4" t="s">
        <v>4942</v>
      </c>
      <c r="C425" t="s">
        <v>4943</v>
      </c>
      <c r="D425" t="s">
        <v>4944</v>
      </c>
      <c r="E425" t="str">
        <f>"763 16"</f>
        <v>763 16</v>
      </c>
      <c r="F425" t="s">
        <v>4945</v>
      </c>
      <c r="G425" t="s">
        <v>2129</v>
      </c>
      <c r="H425" t="s">
        <v>202</v>
      </c>
    </row>
    <row r="426" spans="1:9" x14ac:dyDescent="0.25">
      <c r="A426" s="4" t="str">
        <f>"281"</f>
        <v>281</v>
      </c>
      <c r="B426" s="4" t="s">
        <v>4946</v>
      </c>
      <c r="C426" t="s">
        <v>4947</v>
      </c>
      <c r="D426" t="s">
        <v>4948</v>
      </c>
      <c r="E426" t="str">
        <f>"765 02"</f>
        <v>765 02</v>
      </c>
      <c r="F426" t="s">
        <v>4949</v>
      </c>
      <c r="G426" t="s">
        <v>2129</v>
      </c>
      <c r="H426" t="s">
        <v>202</v>
      </c>
    </row>
    <row r="427" spans="1:9" x14ac:dyDescent="0.25">
      <c r="A427" s="4" t="str">
        <f>"77"</f>
        <v>77</v>
      </c>
      <c r="B427" s="4" t="s">
        <v>4992</v>
      </c>
      <c r="C427" t="s">
        <v>4993</v>
      </c>
      <c r="D427" t="s">
        <v>4994</v>
      </c>
      <c r="E427" t="str">
        <f>"763 45"</f>
        <v>763 45</v>
      </c>
      <c r="F427" t="s">
        <v>4995</v>
      </c>
      <c r="G427" t="s">
        <v>2129</v>
      </c>
      <c r="H427" t="s">
        <v>120</v>
      </c>
      <c r="I427" t="s">
        <v>1427</v>
      </c>
    </row>
    <row r="428" spans="1:9" x14ac:dyDescent="0.25">
      <c r="A428" s="4" t="str">
        <f>"839"</f>
        <v>839</v>
      </c>
      <c r="B428" s="4" t="s">
        <v>5079</v>
      </c>
      <c r="C428" t="s">
        <v>5080</v>
      </c>
      <c r="D428" t="s">
        <v>5081</v>
      </c>
      <c r="E428" t="str">
        <f>"763 15"</f>
        <v>763 15</v>
      </c>
      <c r="F428" t="s">
        <v>5082</v>
      </c>
      <c r="G428" t="s">
        <v>2129</v>
      </c>
      <c r="H428" t="s">
        <v>120</v>
      </c>
      <c r="I428" t="s">
        <v>1427</v>
      </c>
    </row>
    <row r="429" spans="1:9" x14ac:dyDescent="0.25">
      <c r="A429" s="4" t="str">
        <f>"5385"</f>
        <v>5385</v>
      </c>
      <c r="B429" s="4" t="s">
        <v>5213</v>
      </c>
      <c r="C429" t="s">
        <v>5214</v>
      </c>
      <c r="D429" t="s">
        <v>5215</v>
      </c>
      <c r="E429" t="str">
        <f>"763 45"</f>
        <v>763 45</v>
      </c>
      <c r="F429" t="s">
        <v>5216</v>
      </c>
      <c r="G429" t="s">
        <v>2129</v>
      </c>
      <c r="H429" t="s">
        <v>120</v>
      </c>
      <c r="I429" t="s">
        <v>1427</v>
      </c>
    </row>
    <row r="430" spans="1:9" x14ac:dyDescent="0.25">
      <c r="A430" s="4" t="str">
        <f>"2715"</f>
        <v>2715</v>
      </c>
      <c r="B430" s="4" t="s">
        <v>5232</v>
      </c>
      <c r="C430" t="s">
        <v>225</v>
      </c>
      <c r="D430" t="s">
        <v>5233</v>
      </c>
      <c r="E430" t="str">
        <f>"672 01"</f>
        <v>672 01</v>
      </c>
      <c r="F430" t="s">
        <v>5234</v>
      </c>
      <c r="G430" t="s">
        <v>675</v>
      </c>
      <c r="H430" t="s">
        <v>202</v>
      </c>
    </row>
    <row r="431" spans="1:9" x14ac:dyDescent="0.25">
      <c r="A431" s="4" t="str">
        <f>"1554"</f>
        <v>1554</v>
      </c>
      <c r="B431" s="4" t="s">
        <v>5235</v>
      </c>
      <c r="C431" t="s">
        <v>5236</v>
      </c>
      <c r="D431" t="s">
        <v>5237</v>
      </c>
      <c r="E431" t="str">
        <f>"671 65"</f>
        <v>671 65</v>
      </c>
      <c r="F431" t="s">
        <v>5238</v>
      </c>
      <c r="G431" t="s">
        <v>675</v>
      </c>
      <c r="H431" t="s">
        <v>120</v>
      </c>
    </row>
    <row r="432" spans="1:9" x14ac:dyDescent="0.25">
      <c r="A432" s="4" t="str">
        <f>"3632"</f>
        <v>3632</v>
      </c>
      <c r="B432" s="4" t="s">
        <v>5243</v>
      </c>
      <c r="C432" t="s">
        <v>5244</v>
      </c>
      <c r="D432" t="s">
        <v>5245</v>
      </c>
      <c r="E432" t="str">
        <f>"592 31"</f>
        <v>592 31</v>
      </c>
      <c r="F432" t="s">
        <v>5246</v>
      </c>
      <c r="G432" t="s">
        <v>1509</v>
      </c>
      <c r="H432" t="s">
        <v>39</v>
      </c>
    </row>
    <row r="433" spans="1:9" x14ac:dyDescent="0.25">
      <c r="A433" s="4" t="str">
        <f>"1191"</f>
        <v>1191</v>
      </c>
      <c r="B433" s="4" t="s">
        <v>5247</v>
      </c>
      <c r="C433" t="s">
        <v>5248</v>
      </c>
      <c r="D433" t="s">
        <v>5249</v>
      </c>
      <c r="E433" t="str">
        <f>"591 38"</f>
        <v>591 38</v>
      </c>
      <c r="F433" t="s">
        <v>5250</v>
      </c>
      <c r="G433" t="s">
        <v>1509</v>
      </c>
      <c r="H433" t="s">
        <v>202</v>
      </c>
      <c r="I433" t="s">
        <v>5251</v>
      </c>
    </row>
    <row r="434" spans="1:9" x14ac:dyDescent="0.25">
      <c r="A434" s="4" t="str">
        <f>"3206"</f>
        <v>3206</v>
      </c>
      <c r="B434" s="4" t="s">
        <v>5252</v>
      </c>
      <c r="C434" t="s">
        <v>5253</v>
      </c>
      <c r="D434" t="s">
        <v>5254</v>
      </c>
      <c r="E434" t="str">
        <f>"594 01"</f>
        <v>594 01</v>
      </c>
      <c r="F434" t="s">
        <v>5255</v>
      </c>
      <c r="G434" t="s">
        <v>1509</v>
      </c>
      <c r="H434" t="s">
        <v>202</v>
      </c>
    </row>
    <row r="435" spans="1:9" x14ac:dyDescent="0.25">
      <c r="A435" s="4">
        <v>3623</v>
      </c>
      <c r="B435" s="4" t="s">
        <v>5270</v>
      </c>
      <c r="C435" t="s">
        <v>217</v>
      </c>
      <c r="D435" t="s">
        <v>5267</v>
      </c>
      <c r="E435" t="s">
        <v>5268</v>
      </c>
      <c r="F435" t="s">
        <v>5269</v>
      </c>
      <c r="G435" t="s">
        <v>1294</v>
      </c>
      <c r="H435" t="s">
        <v>120</v>
      </c>
    </row>
    <row r="436" spans="1:9" x14ac:dyDescent="0.25">
      <c r="A436" s="4" t="str">
        <f>"3497"</f>
        <v>3497</v>
      </c>
      <c r="B436" s="4" t="s">
        <v>706</v>
      </c>
      <c r="C436" t="s">
        <v>707</v>
      </c>
      <c r="D436" t="s">
        <v>708</v>
      </c>
      <c r="E436" t="str">
        <f>"256 01"</f>
        <v>256 01</v>
      </c>
      <c r="F436" t="s">
        <v>709</v>
      </c>
      <c r="G436" t="s">
        <v>201</v>
      </c>
      <c r="H436" t="s">
        <v>202</v>
      </c>
    </row>
    <row r="437" spans="1:9" x14ac:dyDescent="0.25">
      <c r="A437" s="4" t="str">
        <f>"1410"</f>
        <v>1410</v>
      </c>
      <c r="B437" s="4" t="s">
        <v>1332</v>
      </c>
      <c r="C437" t="s">
        <v>1333</v>
      </c>
      <c r="D437" t="s">
        <v>1334</v>
      </c>
      <c r="E437" t="str">
        <f>"408 01"</f>
        <v>408 01</v>
      </c>
      <c r="F437" t="s">
        <v>1335</v>
      </c>
      <c r="G437" t="s">
        <v>1311</v>
      </c>
      <c r="H437" t="s">
        <v>202</v>
      </c>
    </row>
    <row r="438" spans="1:9" x14ac:dyDescent="0.25">
      <c r="A438" s="4" t="str">
        <f>"81"</f>
        <v>81</v>
      </c>
      <c r="B438" s="4" t="s">
        <v>3326</v>
      </c>
      <c r="C438" t="s">
        <v>3327</v>
      </c>
      <c r="D438" t="s">
        <v>3328</v>
      </c>
      <c r="E438" t="str">
        <f>"771 66"</f>
        <v>771 66</v>
      </c>
      <c r="F438" t="s">
        <v>3319</v>
      </c>
      <c r="G438" t="s">
        <v>1023</v>
      </c>
      <c r="H438" t="s">
        <v>202</v>
      </c>
    </row>
    <row r="439" spans="1:9" x14ac:dyDescent="0.25">
      <c r="A439" s="4" t="str">
        <f>"1829"</f>
        <v>1829</v>
      </c>
      <c r="B439" s="4" t="s">
        <v>4489</v>
      </c>
      <c r="C439" t="s">
        <v>225</v>
      </c>
      <c r="D439" t="s">
        <v>4490</v>
      </c>
      <c r="E439" t="str">
        <f>"566 01"</f>
        <v>566 01</v>
      </c>
      <c r="F439" t="s">
        <v>4491</v>
      </c>
      <c r="G439" t="s">
        <v>1294</v>
      </c>
      <c r="H439" t="s">
        <v>202</v>
      </c>
    </row>
    <row r="440" spans="1:9" x14ac:dyDescent="0.25">
      <c r="A440" s="4" t="str">
        <f>"2708"</f>
        <v>2708</v>
      </c>
      <c r="B440" s="4" t="s">
        <v>5228</v>
      </c>
      <c r="C440" t="s">
        <v>5229</v>
      </c>
      <c r="D440" t="s">
        <v>5230</v>
      </c>
      <c r="E440" t="str">
        <f>"669 26"</f>
        <v>669 26</v>
      </c>
      <c r="F440" t="s">
        <v>5231</v>
      </c>
      <c r="G440" t="s">
        <v>675</v>
      </c>
      <c r="H440" t="s">
        <v>202</v>
      </c>
    </row>
  </sheetData>
  <mergeCells count="1">
    <mergeCell ref="A1:H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7"/>
  <sheetViews>
    <sheetView topLeftCell="A55" workbookViewId="0">
      <selection activeCell="G2" sqref="G1:G1048576"/>
    </sheetView>
  </sheetViews>
  <sheetFormatPr defaultRowHeight="15" x14ac:dyDescent="0.25"/>
  <cols>
    <col min="1" max="1" width="14.7109375" style="4" bestFit="1" customWidth="1"/>
    <col min="2" max="2" width="9.140625" style="4"/>
    <col min="3" max="3" width="64" customWidth="1"/>
    <col min="4" max="4" width="27.42578125" customWidth="1"/>
    <col min="6" max="6" width="18.5703125" customWidth="1"/>
    <col min="7" max="7" width="18.140625" bestFit="1" customWidth="1"/>
    <col min="8" max="8" width="34.7109375" bestFit="1" customWidth="1"/>
    <col min="9" max="9" width="26.7109375" bestFit="1" customWidth="1"/>
    <col min="10" max="10" width="252.7109375" bestFit="1" customWidth="1"/>
  </cols>
  <sheetData>
    <row r="1" spans="1:10" ht="35.25" customHeight="1" x14ac:dyDescent="0.3">
      <c r="A1" s="8" t="s">
        <v>5271</v>
      </c>
      <c r="B1" s="8"/>
      <c r="C1" s="8"/>
      <c r="D1" s="8"/>
      <c r="E1" s="8"/>
      <c r="F1" s="8"/>
      <c r="G1" s="8"/>
      <c r="H1" s="8"/>
      <c r="I1" s="8"/>
    </row>
    <row r="2" spans="1:10" x14ac:dyDescent="0.25">
      <c r="A2" s="3" t="s">
        <v>0</v>
      </c>
      <c r="B2" s="3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 spans="1:10" x14ac:dyDescent="0.25">
      <c r="A3" s="4" t="str">
        <f>"3286"</f>
        <v>3286</v>
      </c>
      <c r="B3" s="4" t="s">
        <v>121</v>
      </c>
      <c r="C3" t="s">
        <v>122</v>
      </c>
      <c r="D3" t="s">
        <v>123</v>
      </c>
      <c r="E3" t="str">
        <f>"155 00"</f>
        <v>155 00</v>
      </c>
      <c r="F3" t="s">
        <v>124</v>
      </c>
      <c r="G3" t="s">
        <v>14</v>
      </c>
      <c r="H3" t="s">
        <v>120</v>
      </c>
      <c r="I3" t="s">
        <v>125</v>
      </c>
    </row>
    <row r="4" spans="1:10" x14ac:dyDescent="0.25">
      <c r="A4" s="4" t="str">
        <f>"4371"</f>
        <v>4371</v>
      </c>
      <c r="B4" s="4" t="s">
        <v>155</v>
      </c>
      <c r="C4" t="s">
        <v>156</v>
      </c>
      <c r="D4" t="s">
        <v>157</v>
      </c>
      <c r="E4" t="str">
        <f>"199 00"</f>
        <v>199 00</v>
      </c>
      <c r="F4" t="s">
        <v>158</v>
      </c>
      <c r="G4" t="s">
        <v>14</v>
      </c>
      <c r="H4" t="s">
        <v>120</v>
      </c>
      <c r="I4" t="s">
        <v>125</v>
      </c>
    </row>
    <row r="5" spans="1:10" x14ac:dyDescent="0.25">
      <c r="A5" s="4" t="str">
        <f>"3720"</f>
        <v>3720</v>
      </c>
      <c r="B5" s="4" t="s">
        <v>159</v>
      </c>
      <c r="C5" t="s">
        <v>127</v>
      </c>
      <c r="D5" t="s">
        <v>160</v>
      </c>
      <c r="E5" t="str">
        <f>"190 14"</f>
        <v>190 14</v>
      </c>
      <c r="F5" t="s">
        <v>161</v>
      </c>
      <c r="G5" t="s">
        <v>14</v>
      </c>
      <c r="H5" t="s">
        <v>120</v>
      </c>
      <c r="I5" t="s">
        <v>125</v>
      </c>
    </row>
    <row r="6" spans="1:10" x14ac:dyDescent="0.25">
      <c r="A6" s="4" t="str">
        <f>"3847"</f>
        <v>3847</v>
      </c>
      <c r="B6" s="4" t="s">
        <v>162</v>
      </c>
      <c r="C6" t="s">
        <v>163</v>
      </c>
      <c r="D6" t="s">
        <v>164</v>
      </c>
      <c r="E6" t="str">
        <f>"155 21"</f>
        <v>155 21</v>
      </c>
      <c r="F6" t="s">
        <v>165</v>
      </c>
      <c r="G6" t="s">
        <v>14</v>
      </c>
      <c r="H6" t="s">
        <v>120</v>
      </c>
      <c r="I6" t="s">
        <v>125</v>
      </c>
    </row>
    <row r="7" spans="1:10" x14ac:dyDescent="0.25">
      <c r="A7" s="4" t="str">
        <f>"3121"</f>
        <v>3121</v>
      </c>
      <c r="B7" s="4" t="s">
        <v>170</v>
      </c>
      <c r="C7" t="s">
        <v>127</v>
      </c>
      <c r="D7" t="s">
        <v>171</v>
      </c>
      <c r="E7" t="str">
        <f>"154 00"</f>
        <v>154 00</v>
      </c>
      <c r="F7" t="s">
        <v>172</v>
      </c>
      <c r="G7" t="s">
        <v>14</v>
      </c>
      <c r="H7" t="s">
        <v>120</v>
      </c>
      <c r="I7" t="s">
        <v>125</v>
      </c>
    </row>
    <row r="8" spans="1:10" x14ac:dyDescent="0.25">
      <c r="A8" s="4" t="str">
        <f>"4215"</f>
        <v>4215</v>
      </c>
      <c r="B8" s="4" t="s">
        <v>177</v>
      </c>
      <c r="C8" t="s">
        <v>127</v>
      </c>
      <c r="D8" t="s">
        <v>178</v>
      </c>
      <c r="E8" t="str">
        <f>"164 00"</f>
        <v>164 00</v>
      </c>
      <c r="F8" t="s">
        <v>179</v>
      </c>
      <c r="G8" t="s">
        <v>14</v>
      </c>
      <c r="H8" t="s">
        <v>120</v>
      </c>
      <c r="I8" t="s">
        <v>125</v>
      </c>
    </row>
    <row r="9" spans="1:10" x14ac:dyDescent="0.25">
      <c r="A9" s="4" t="str">
        <f>"4746"</f>
        <v>4746</v>
      </c>
      <c r="B9" s="4" t="s">
        <v>190</v>
      </c>
      <c r="C9" t="s">
        <v>191</v>
      </c>
      <c r="D9" t="s">
        <v>192</v>
      </c>
      <c r="E9" t="str">
        <f>"196 00"</f>
        <v>196 00</v>
      </c>
      <c r="F9" t="s">
        <v>193</v>
      </c>
      <c r="G9" t="s">
        <v>14</v>
      </c>
      <c r="H9" t="s">
        <v>120</v>
      </c>
      <c r="I9" t="s">
        <v>125</v>
      </c>
    </row>
    <row r="10" spans="1:10" x14ac:dyDescent="0.25">
      <c r="A10" s="4" t="str">
        <f>"3981"</f>
        <v>3981</v>
      </c>
      <c r="B10" s="4" t="s">
        <v>194</v>
      </c>
      <c r="C10" t="s">
        <v>127</v>
      </c>
      <c r="D10" t="s">
        <v>195</v>
      </c>
      <c r="E10" t="str">
        <f>"103 00"</f>
        <v>103 00</v>
      </c>
      <c r="F10" t="s">
        <v>196</v>
      </c>
      <c r="G10" t="s">
        <v>14</v>
      </c>
      <c r="H10" t="s">
        <v>120</v>
      </c>
      <c r="I10" t="s">
        <v>125</v>
      </c>
    </row>
    <row r="11" spans="1:10" x14ac:dyDescent="0.25">
      <c r="A11" s="4" t="str">
        <f>"3472"</f>
        <v>3472</v>
      </c>
      <c r="B11" s="4" t="s">
        <v>1064</v>
      </c>
      <c r="C11" t="s">
        <v>1065</v>
      </c>
      <c r="D11" t="s">
        <v>1066</v>
      </c>
      <c r="E11" t="str">
        <f>"370 07"</f>
        <v>370 07</v>
      </c>
      <c r="F11" t="s">
        <v>1067</v>
      </c>
      <c r="G11" t="s">
        <v>1058</v>
      </c>
      <c r="H11" t="s">
        <v>120</v>
      </c>
      <c r="I11" t="s">
        <v>125</v>
      </c>
    </row>
    <row r="12" spans="1:10" x14ac:dyDescent="0.25">
      <c r="A12" s="4" t="str">
        <f>"5223"</f>
        <v>5223</v>
      </c>
      <c r="B12" s="4" t="s">
        <v>1068</v>
      </c>
      <c r="C12" t="s">
        <v>1069</v>
      </c>
      <c r="D12" t="s">
        <v>1070</v>
      </c>
      <c r="E12" t="str">
        <f>"370 06"</f>
        <v>370 06</v>
      </c>
      <c r="F12" t="s">
        <v>1071</v>
      </c>
      <c r="G12" t="s">
        <v>1058</v>
      </c>
      <c r="H12" t="s">
        <v>120</v>
      </c>
      <c r="I12" t="s">
        <v>125</v>
      </c>
    </row>
    <row r="13" spans="1:10" x14ac:dyDescent="0.25">
      <c r="A13" s="4" t="str">
        <f>"4744"</f>
        <v>4744</v>
      </c>
      <c r="B13" s="4" t="s">
        <v>1076</v>
      </c>
      <c r="C13" t="s">
        <v>1077</v>
      </c>
      <c r="D13" t="s">
        <v>1078</v>
      </c>
      <c r="E13" t="str">
        <f>"373 41"</f>
        <v>373 41</v>
      </c>
      <c r="F13" t="s">
        <v>1079</v>
      </c>
      <c r="G13" t="s">
        <v>1058</v>
      </c>
      <c r="H13" t="s">
        <v>202</v>
      </c>
      <c r="I13" t="s">
        <v>125</v>
      </c>
    </row>
    <row r="14" spans="1:10" x14ac:dyDescent="0.25">
      <c r="A14" s="4" t="str">
        <f>"5371"</f>
        <v>5371</v>
      </c>
      <c r="B14" s="4" t="s">
        <v>1080</v>
      </c>
      <c r="C14" t="s">
        <v>1081</v>
      </c>
      <c r="D14" t="s">
        <v>1082</v>
      </c>
      <c r="E14" t="str">
        <f>"373 11"</f>
        <v>373 11</v>
      </c>
      <c r="F14" t="s">
        <v>1083</v>
      </c>
      <c r="G14" t="s">
        <v>1058</v>
      </c>
      <c r="H14" t="s">
        <v>120</v>
      </c>
      <c r="I14" t="s">
        <v>125</v>
      </c>
    </row>
    <row r="15" spans="1:10" x14ac:dyDescent="0.25">
      <c r="A15" s="4" t="str">
        <f>"3134"</f>
        <v>3134</v>
      </c>
      <c r="B15" s="4" t="s">
        <v>1084</v>
      </c>
      <c r="C15" t="s">
        <v>217</v>
      </c>
      <c r="D15" t="s">
        <v>1085</v>
      </c>
      <c r="E15" t="str">
        <f>"373 65"</f>
        <v>373 65</v>
      </c>
      <c r="F15" t="s">
        <v>1086</v>
      </c>
      <c r="G15" t="s">
        <v>1058</v>
      </c>
      <c r="H15" t="s">
        <v>120</v>
      </c>
      <c r="I15" t="s">
        <v>125</v>
      </c>
    </row>
    <row r="16" spans="1:10" x14ac:dyDescent="0.25">
      <c r="A16" s="4" t="str">
        <f>"3965"</f>
        <v>3965</v>
      </c>
      <c r="B16" s="4" t="s">
        <v>1091</v>
      </c>
      <c r="C16" t="s">
        <v>225</v>
      </c>
      <c r="D16" t="s">
        <v>1092</v>
      </c>
      <c r="E16" t="str">
        <f>"373 71"</f>
        <v>373 71</v>
      </c>
      <c r="F16" t="s">
        <v>1093</v>
      </c>
      <c r="G16" t="s">
        <v>1058</v>
      </c>
      <c r="H16" t="s">
        <v>202</v>
      </c>
      <c r="I16" t="s">
        <v>125</v>
      </c>
    </row>
    <row r="17" spans="1:10" x14ac:dyDescent="0.25">
      <c r="A17" s="4" t="str">
        <f>"5691"</f>
        <v>5691</v>
      </c>
      <c r="B17" s="4" t="s">
        <v>1094</v>
      </c>
      <c r="C17" t="s">
        <v>225</v>
      </c>
      <c r="D17" t="s">
        <v>1095</v>
      </c>
      <c r="E17" t="str">
        <f>"373 72"</f>
        <v>373 72</v>
      </c>
      <c r="F17" t="s">
        <v>1096</v>
      </c>
      <c r="G17" t="s">
        <v>1058</v>
      </c>
      <c r="H17" t="s">
        <v>202</v>
      </c>
      <c r="I17" t="s">
        <v>125</v>
      </c>
    </row>
    <row r="18" spans="1:10" x14ac:dyDescent="0.25">
      <c r="A18" s="4" t="str">
        <f>"4057"</f>
        <v>4057</v>
      </c>
      <c r="B18" s="4" t="s">
        <v>1097</v>
      </c>
      <c r="C18" t="s">
        <v>225</v>
      </c>
      <c r="D18" t="s">
        <v>1098</v>
      </c>
      <c r="E18" t="str">
        <f>"373 44"</f>
        <v>373 44</v>
      </c>
      <c r="F18" t="s">
        <v>1099</v>
      </c>
      <c r="G18" t="s">
        <v>1058</v>
      </c>
      <c r="H18" t="s">
        <v>202</v>
      </c>
      <c r="I18" t="s">
        <v>125</v>
      </c>
    </row>
    <row r="19" spans="1:10" x14ac:dyDescent="0.25">
      <c r="A19" s="4" t="str">
        <f>"5164"</f>
        <v>5164</v>
      </c>
      <c r="B19" s="4" t="s">
        <v>1107</v>
      </c>
      <c r="C19" t="s">
        <v>1108</v>
      </c>
      <c r="D19" t="s">
        <v>1109</v>
      </c>
      <c r="E19" t="str">
        <f>"373 81"</f>
        <v>373 81</v>
      </c>
      <c r="F19" t="s">
        <v>1110</v>
      </c>
      <c r="G19" t="s">
        <v>1058</v>
      </c>
      <c r="H19" t="s">
        <v>120</v>
      </c>
      <c r="I19" t="s">
        <v>125</v>
      </c>
    </row>
    <row r="20" spans="1:10" x14ac:dyDescent="0.25">
      <c r="A20" s="4" t="str">
        <f>"1351"</f>
        <v>1351</v>
      </c>
      <c r="B20" s="4" t="s">
        <v>1111</v>
      </c>
      <c r="C20" t="s">
        <v>1112</v>
      </c>
      <c r="D20" t="s">
        <v>1113</v>
      </c>
      <c r="E20" t="str">
        <f>"373 82"</f>
        <v>373 82</v>
      </c>
      <c r="F20" t="s">
        <v>1114</v>
      </c>
      <c r="G20" t="s">
        <v>1058</v>
      </c>
      <c r="H20" t="s">
        <v>120</v>
      </c>
      <c r="I20" t="s">
        <v>125</v>
      </c>
    </row>
    <row r="21" spans="1:10" x14ac:dyDescent="0.25">
      <c r="A21" s="4" t="str">
        <f>"3824"</f>
        <v>3824</v>
      </c>
      <c r="B21" s="4" t="s">
        <v>1115</v>
      </c>
      <c r="C21" t="s">
        <v>1116</v>
      </c>
      <c r="D21" t="s">
        <v>1117</v>
      </c>
      <c r="E21" t="str">
        <f>"373 64"</f>
        <v>373 64</v>
      </c>
      <c r="F21" t="s">
        <v>1118</v>
      </c>
      <c r="G21" t="s">
        <v>1058</v>
      </c>
      <c r="H21" t="s">
        <v>120</v>
      </c>
      <c r="I21" t="s">
        <v>125</v>
      </c>
    </row>
    <row r="22" spans="1:10" x14ac:dyDescent="0.25">
      <c r="A22" s="4" t="str">
        <f>"3876"</f>
        <v>3876</v>
      </c>
      <c r="B22" s="4" t="s">
        <v>1119</v>
      </c>
      <c r="C22" t="s">
        <v>1120</v>
      </c>
      <c r="D22" t="s">
        <v>1121</v>
      </c>
      <c r="E22" t="str">
        <f>"373 49"</f>
        <v>373 49</v>
      </c>
      <c r="F22" t="s">
        <v>1122</v>
      </c>
      <c r="G22" t="s">
        <v>1058</v>
      </c>
      <c r="H22" t="s">
        <v>120</v>
      </c>
      <c r="I22" t="s">
        <v>125</v>
      </c>
    </row>
    <row r="23" spans="1:10" x14ac:dyDescent="0.25">
      <c r="A23" s="4" t="str">
        <f>"4923"</f>
        <v>4923</v>
      </c>
      <c r="B23" s="4" t="s">
        <v>1123</v>
      </c>
      <c r="C23" t="s">
        <v>1124</v>
      </c>
      <c r="D23" t="s">
        <v>1125</v>
      </c>
      <c r="E23" t="str">
        <f>"373 16"</f>
        <v>373 16</v>
      </c>
      <c r="F23" t="s">
        <v>1126</v>
      </c>
      <c r="G23" t="s">
        <v>1058</v>
      </c>
      <c r="H23" t="s">
        <v>120</v>
      </c>
      <c r="I23" t="s">
        <v>125</v>
      </c>
    </row>
    <row r="24" spans="1:10" x14ac:dyDescent="0.25">
      <c r="A24" s="4" t="str">
        <f>"5135"</f>
        <v>5135</v>
      </c>
      <c r="B24" s="4" t="s">
        <v>1127</v>
      </c>
      <c r="C24" t="s">
        <v>1128</v>
      </c>
      <c r="D24" t="s">
        <v>1129</v>
      </c>
      <c r="E24" t="str">
        <f>"373 46"</f>
        <v>373 46</v>
      </c>
      <c r="F24" t="s">
        <v>1130</v>
      </c>
      <c r="G24" t="s">
        <v>1058</v>
      </c>
      <c r="H24" t="s">
        <v>120</v>
      </c>
      <c r="I24" t="s">
        <v>125</v>
      </c>
    </row>
    <row r="25" spans="1:10" x14ac:dyDescent="0.25">
      <c r="A25" s="4" t="str">
        <f>"5398"</f>
        <v>5398</v>
      </c>
      <c r="B25" s="4" t="s">
        <v>1131</v>
      </c>
      <c r="C25" t="s">
        <v>1132</v>
      </c>
      <c r="D25" t="s">
        <v>1133</v>
      </c>
      <c r="E25" t="str">
        <f>"373 82"</f>
        <v>373 82</v>
      </c>
      <c r="F25" t="s">
        <v>1134</v>
      </c>
      <c r="G25" t="s">
        <v>1058</v>
      </c>
      <c r="H25" t="s">
        <v>120</v>
      </c>
      <c r="I25" t="s">
        <v>125</v>
      </c>
    </row>
    <row r="26" spans="1:10" x14ac:dyDescent="0.25">
      <c r="A26" s="4" t="str">
        <f>"5483"</f>
        <v>5483</v>
      </c>
      <c r="B26" s="4" t="s">
        <v>1135</v>
      </c>
      <c r="C26" t="s">
        <v>1136</v>
      </c>
      <c r="D26" t="s">
        <v>1137</v>
      </c>
      <c r="E26" t="str">
        <f>"373 51"</f>
        <v>373 51</v>
      </c>
      <c r="F26" t="s">
        <v>1138</v>
      </c>
      <c r="G26" t="s">
        <v>1058</v>
      </c>
      <c r="H26" t="s">
        <v>120</v>
      </c>
      <c r="I26" t="s">
        <v>125</v>
      </c>
      <c r="J26" t="s">
        <v>1139</v>
      </c>
    </row>
    <row r="27" spans="1:10" x14ac:dyDescent="0.25">
      <c r="A27" s="4" t="str">
        <f>"905"</f>
        <v>905</v>
      </c>
      <c r="B27" s="4" t="s">
        <v>1167</v>
      </c>
      <c r="C27" t="s">
        <v>1168</v>
      </c>
      <c r="D27" t="s">
        <v>1169</v>
      </c>
      <c r="E27" t="str">
        <f>"381 01"</f>
        <v>381 01</v>
      </c>
      <c r="F27" t="s">
        <v>1170</v>
      </c>
      <c r="G27" t="s">
        <v>1058</v>
      </c>
      <c r="H27" t="s">
        <v>120</v>
      </c>
      <c r="I27" t="s">
        <v>125</v>
      </c>
    </row>
    <row r="28" spans="1:10" x14ac:dyDescent="0.25">
      <c r="A28" s="4" t="str">
        <f>"4026"</f>
        <v>4026</v>
      </c>
      <c r="B28" s="4" t="s">
        <v>1171</v>
      </c>
      <c r="C28" t="s">
        <v>1172</v>
      </c>
      <c r="D28" t="s">
        <v>1173</v>
      </c>
      <c r="E28" t="str">
        <f>"381 01"</f>
        <v>381 01</v>
      </c>
      <c r="F28" t="s">
        <v>1173</v>
      </c>
      <c r="G28" t="s">
        <v>1058</v>
      </c>
      <c r="H28" t="s">
        <v>120</v>
      </c>
      <c r="I28" t="s">
        <v>125</v>
      </c>
    </row>
    <row r="29" spans="1:10" x14ac:dyDescent="0.25">
      <c r="A29" s="4" t="str">
        <f>"205"</f>
        <v>205</v>
      </c>
      <c r="B29" s="4" t="s">
        <v>1179</v>
      </c>
      <c r="C29" t="s">
        <v>1180</v>
      </c>
      <c r="D29" t="s">
        <v>1181</v>
      </c>
      <c r="E29" t="str">
        <f>"382 79"</f>
        <v>382 79</v>
      </c>
      <c r="F29" t="s">
        <v>1181</v>
      </c>
      <c r="G29" t="s">
        <v>1058</v>
      </c>
      <c r="H29" t="s">
        <v>120</v>
      </c>
      <c r="I29" t="s">
        <v>125</v>
      </c>
    </row>
    <row r="30" spans="1:10" x14ac:dyDescent="0.25">
      <c r="A30" s="4" t="str">
        <f>"1172"</f>
        <v>1172</v>
      </c>
      <c r="B30" s="4" t="s">
        <v>1182</v>
      </c>
      <c r="C30" t="s">
        <v>225</v>
      </c>
      <c r="D30" t="s">
        <v>1183</v>
      </c>
      <c r="E30" t="str">
        <f>"382 26"</f>
        <v>382 26</v>
      </c>
      <c r="F30" t="s">
        <v>1184</v>
      </c>
      <c r="G30" t="s">
        <v>1058</v>
      </c>
      <c r="H30" t="s">
        <v>202</v>
      </c>
      <c r="I30" t="s">
        <v>125</v>
      </c>
    </row>
    <row r="31" spans="1:10" x14ac:dyDescent="0.25">
      <c r="A31" s="4" t="str">
        <f>"853"</f>
        <v>853</v>
      </c>
      <c r="B31" s="4" t="s">
        <v>1185</v>
      </c>
      <c r="C31" t="s">
        <v>1186</v>
      </c>
      <c r="D31" t="s">
        <v>1187</v>
      </c>
      <c r="E31" t="str">
        <f>"382 73"</f>
        <v>382 73</v>
      </c>
      <c r="F31" t="s">
        <v>1188</v>
      </c>
      <c r="G31" t="s">
        <v>1058</v>
      </c>
      <c r="H31" t="s">
        <v>202</v>
      </c>
      <c r="I31" t="s">
        <v>125</v>
      </c>
    </row>
    <row r="32" spans="1:10" x14ac:dyDescent="0.25">
      <c r="A32" s="4" t="str">
        <f>"4292"</f>
        <v>4292</v>
      </c>
      <c r="B32" s="4" t="s">
        <v>1189</v>
      </c>
      <c r="C32" t="s">
        <v>1190</v>
      </c>
      <c r="D32" t="s">
        <v>1191</v>
      </c>
      <c r="E32" t="str">
        <f>"382 03"</f>
        <v>382 03</v>
      </c>
      <c r="F32" t="s">
        <v>1192</v>
      </c>
      <c r="G32" t="s">
        <v>1058</v>
      </c>
      <c r="H32" t="s">
        <v>120</v>
      </c>
      <c r="I32" t="s">
        <v>125</v>
      </c>
    </row>
    <row r="33" spans="1:9" x14ac:dyDescent="0.25">
      <c r="A33" s="4" t="str">
        <f>"929"</f>
        <v>929</v>
      </c>
      <c r="B33" s="4" t="s">
        <v>1193</v>
      </c>
      <c r="C33" t="s">
        <v>1194</v>
      </c>
      <c r="D33" t="s">
        <v>1195</v>
      </c>
      <c r="E33" t="str">
        <f>"382 32"</f>
        <v>382 32</v>
      </c>
      <c r="F33" t="s">
        <v>1196</v>
      </c>
      <c r="G33" t="s">
        <v>1058</v>
      </c>
      <c r="H33" t="s">
        <v>202</v>
      </c>
      <c r="I33" t="s">
        <v>125</v>
      </c>
    </row>
    <row r="34" spans="1:9" x14ac:dyDescent="0.25">
      <c r="A34" s="4" t="str">
        <f>"1522"</f>
        <v>1522</v>
      </c>
      <c r="B34" s="4" t="s">
        <v>1197</v>
      </c>
      <c r="C34" t="s">
        <v>1198</v>
      </c>
      <c r="D34" t="s">
        <v>1199</v>
      </c>
      <c r="E34" t="str">
        <f>"382 76"</f>
        <v>382 76</v>
      </c>
      <c r="F34" t="s">
        <v>1200</v>
      </c>
      <c r="G34" t="s">
        <v>1058</v>
      </c>
      <c r="H34" t="s">
        <v>120</v>
      </c>
      <c r="I34" t="s">
        <v>125</v>
      </c>
    </row>
    <row r="35" spans="1:9" x14ac:dyDescent="0.25">
      <c r="A35" s="4" t="str">
        <f>"1855"</f>
        <v>1855</v>
      </c>
      <c r="B35" s="4" t="s">
        <v>1201</v>
      </c>
      <c r="C35" t="s">
        <v>217</v>
      </c>
      <c r="D35" t="s">
        <v>1202</v>
      </c>
      <c r="E35" t="str">
        <f>"382 06"</f>
        <v>382 06</v>
      </c>
      <c r="F35" t="s">
        <v>1203</v>
      </c>
      <c r="G35" t="s">
        <v>1058</v>
      </c>
      <c r="H35" t="s">
        <v>120</v>
      </c>
      <c r="I35" t="s">
        <v>125</v>
      </c>
    </row>
    <row r="36" spans="1:9" x14ac:dyDescent="0.25">
      <c r="A36" s="4" t="str">
        <f>"3812"</f>
        <v>3812</v>
      </c>
      <c r="B36" s="4" t="s">
        <v>1204</v>
      </c>
      <c r="C36" t="s">
        <v>217</v>
      </c>
      <c r="D36" t="s">
        <v>1205</v>
      </c>
      <c r="E36" t="str">
        <f>"382 08"</f>
        <v>382 08</v>
      </c>
      <c r="F36" t="s">
        <v>1206</v>
      </c>
      <c r="G36" t="s">
        <v>1058</v>
      </c>
      <c r="H36" t="s">
        <v>120</v>
      </c>
      <c r="I36" t="s">
        <v>125</v>
      </c>
    </row>
    <row r="37" spans="1:9" x14ac:dyDescent="0.25">
      <c r="A37" s="4" t="str">
        <f>"1818"</f>
        <v>1818</v>
      </c>
      <c r="B37" s="4" t="s">
        <v>1207</v>
      </c>
      <c r="C37" t="s">
        <v>217</v>
      </c>
      <c r="D37" t="s">
        <v>1208</v>
      </c>
      <c r="E37" t="str">
        <f>"382 72"</f>
        <v>382 72</v>
      </c>
      <c r="F37" t="s">
        <v>1209</v>
      </c>
      <c r="G37" t="s">
        <v>1058</v>
      </c>
      <c r="H37" t="s">
        <v>120</v>
      </c>
      <c r="I37" t="s">
        <v>125</v>
      </c>
    </row>
    <row r="38" spans="1:9" x14ac:dyDescent="0.25">
      <c r="A38" s="4" t="str">
        <f>"1778"</f>
        <v>1778</v>
      </c>
      <c r="B38" s="4" t="s">
        <v>1210</v>
      </c>
      <c r="C38" t="s">
        <v>1211</v>
      </c>
      <c r="D38" t="s">
        <v>1212</v>
      </c>
      <c r="E38" t="str">
        <f>"382 11"</f>
        <v>382 11</v>
      </c>
      <c r="F38" t="s">
        <v>1213</v>
      </c>
      <c r="G38" t="s">
        <v>1058</v>
      </c>
      <c r="H38" t="s">
        <v>120</v>
      </c>
      <c r="I38" t="s">
        <v>125</v>
      </c>
    </row>
    <row r="39" spans="1:9" x14ac:dyDescent="0.25">
      <c r="A39" s="4" t="str">
        <f>"1709"</f>
        <v>1709</v>
      </c>
      <c r="B39" s="4" t="s">
        <v>1214</v>
      </c>
      <c r="C39" t="s">
        <v>1215</v>
      </c>
      <c r="D39" t="s">
        <v>1216</v>
      </c>
      <c r="E39" t="str">
        <f>"382 82"</f>
        <v>382 82</v>
      </c>
      <c r="F39" t="s">
        <v>1217</v>
      </c>
      <c r="G39" t="s">
        <v>1058</v>
      </c>
      <c r="H39" t="s">
        <v>120</v>
      </c>
      <c r="I39" t="s">
        <v>125</v>
      </c>
    </row>
    <row r="40" spans="1:9" x14ac:dyDescent="0.25">
      <c r="A40" s="4" t="str">
        <f>"3803"</f>
        <v>3803</v>
      </c>
      <c r="B40" s="4" t="s">
        <v>1218</v>
      </c>
      <c r="C40" t="s">
        <v>1219</v>
      </c>
      <c r="D40" t="s">
        <v>1220</v>
      </c>
      <c r="E40" t="str">
        <f>"382 01"</f>
        <v>382 01</v>
      </c>
      <c r="F40" t="s">
        <v>1221</v>
      </c>
      <c r="G40" t="s">
        <v>1058</v>
      </c>
      <c r="H40" t="s">
        <v>120</v>
      </c>
      <c r="I40" t="s">
        <v>125</v>
      </c>
    </row>
    <row r="41" spans="1:9" x14ac:dyDescent="0.25">
      <c r="A41" s="4" t="str">
        <f>"380"</f>
        <v>380</v>
      </c>
      <c r="B41" s="4" t="s">
        <v>1222</v>
      </c>
      <c r="C41" t="s">
        <v>1223</v>
      </c>
      <c r="D41" t="s">
        <v>1224</v>
      </c>
      <c r="E41" t="str">
        <f>"382 93"</f>
        <v>382 93</v>
      </c>
      <c r="F41" t="s">
        <v>1225</v>
      </c>
      <c r="G41" t="s">
        <v>1058</v>
      </c>
      <c r="H41" t="s">
        <v>120</v>
      </c>
      <c r="I41" t="s">
        <v>125</v>
      </c>
    </row>
    <row r="42" spans="1:9" x14ac:dyDescent="0.25">
      <c r="A42" s="4" t="str">
        <f>"763"</f>
        <v>763</v>
      </c>
      <c r="B42" s="4" t="s">
        <v>1226</v>
      </c>
      <c r="C42" t="s">
        <v>1227</v>
      </c>
      <c r="D42" t="s">
        <v>1228</v>
      </c>
      <c r="E42" t="str">
        <f>"382 32"</f>
        <v>382 32</v>
      </c>
      <c r="F42" t="s">
        <v>1228</v>
      </c>
      <c r="G42" t="s">
        <v>1058</v>
      </c>
      <c r="H42" t="s">
        <v>120</v>
      </c>
      <c r="I42" t="s">
        <v>125</v>
      </c>
    </row>
    <row r="43" spans="1:9" x14ac:dyDescent="0.25">
      <c r="A43" s="4" t="str">
        <f>"996"</f>
        <v>996</v>
      </c>
      <c r="B43" s="4" t="s">
        <v>1229</v>
      </c>
      <c r="C43" t="s">
        <v>1230</v>
      </c>
      <c r="D43" t="s">
        <v>1231</v>
      </c>
      <c r="E43" t="str">
        <f>"382 32"</f>
        <v>382 32</v>
      </c>
      <c r="F43" t="s">
        <v>1231</v>
      </c>
      <c r="G43" t="s">
        <v>1058</v>
      </c>
      <c r="H43" t="s">
        <v>120</v>
      </c>
      <c r="I43" t="s">
        <v>125</v>
      </c>
    </row>
    <row r="44" spans="1:9" x14ac:dyDescent="0.25">
      <c r="A44" s="4" t="str">
        <f>"1505"</f>
        <v>1505</v>
      </c>
      <c r="B44" s="4" t="s">
        <v>1232</v>
      </c>
      <c r="C44" t="s">
        <v>1233</v>
      </c>
      <c r="D44" t="s">
        <v>1234</v>
      </c>
      <c r="E44" t="str">
        <f>"382 21"</f>
        <v>382 21</v>
      </c>
      <c r="F44" t="s">
        <v>1234</v>
      </c>
      <c r="G44" t="s">
        <v>1058</v>
      </c>
      <c r="H44" t="s">
        <v>120</v>
      </c>
      <c r="I44" t="s">
        <v>125</v>
      </c>
    </row>
    <row r="45" spans="1:9" x14ac:dyDescent="0.25">
      <c r="A45" s="4" t="str">
        <f>"1565"</f>
        <v>1565</v>
      </c>
      <c r="B45" s="4" t="s">
        <v>1235</v>
      </c>
      <c r="C45" t="s">
        <v>1236</v>
      </c>
      <c r="D45" t="s">
        <v>1237</v>
      </c>
      <c r="E45" t="str">
        <f>"382 41"</f>
        <v>382 41</v>
      </c>
      <c r="F45" t="s">
        <v>1237</v>
      </c>
      <c r="G45" t="s">
        <v>1058</v>
      </c>
      <c r="H45" t="s">
        <v>120</v>
      </c>
      <c r="I45" t="s">
        <v>125</v>
      </c>
    </row>
    <row r="46" spans="1:9" x14ac:dyDescent="0.25">
      <c r="A46" s="4" t="str">
        <f>"1589"</f>
        <v>1589</v>
      </c>
      <c r="B46" s="4" t="s">
        <v>1238</v>
      </c>
      <c r="C46" t="s">
        <v>1239</v>
      </c>
      <c r="D46" t="s">
        <v>1240</v>
      </c>
      <c r="E46" t="str">
        <f>"382 23"</f>
        <v>382 23</v>
      </c>
      <c r="F46" t="s">
        <v>1241</v>
      </c>
      <c r="G46" t="s">
        <v>1058</v>
      </c>
      <c r="H46" t="s">
        <v>120</v>
      </c>
      <c r="I46" t="s">
        <v>125</v>
      </c>
    </row>
    <row r="47" spans="1:9" x14ac:dyDescent="0.25">
      <c r="A47" s="4" t="str">
        <f>"2137"</f>
        <v>2137</v>
      </c>
      <c r="B47" s="4" t="s">
        <v>1242</v>
      </c>
      <c r="C47" t="s">
        <v>1243</v>
      </c>
      <c r="D47" t="s">
        <v>1244</v>
      </c>
      <c r="E47" t="str">
        <f>"382 81"</f>
        <v>382 81</v>
      </c>
      <c r="F47" t="s">
        <v>1245</v>
      </c>
      <c r="G47" t="s">
        <v>1058</v>
      </c>
      <c r="H47" t="s">
        <v>120</v>
      </c>
      <c r="I47" t="s">
        <v>125</v>
      </c>
    </row>
    <row r="48" spans="1:9" x14ac:dyDescent="0.25">
      <c r="A48" s="4" t="str">
        <f>"2310"</f>
        <v>2310</v>
      </c>
      <c r="B48" s="4" t="s">
        <v>1246</v>
      </c>
      <c r="C48" t="s">
        <v>1247</v>
      </c>
      <c r="D48" t="s">
        <v>1248</v>
      </c>
      <c r="E48" t="str">
        <f>"382 16"</f>
        <v>382 16</v>
      </c>
      <c r="F48" t="s">
        <v>1249</v>
      </c>
      <c r="G48" t="s">
        <v>1058</v>
      </c>
      <c r="H48" t="s">
        <v>120</v>
      </c>
      <c r="I48" t="s">
        <v>125</v>
      </c>
    </row>
    <row r="49" spans="1:9" x14ac:dyDescent="0.25">
      <c r="A49" s="4" t="str">
        <f>"2655"</f>
        <v>2655</v>
      </c>
      <c r="B49" s="4" t="s">
        <v>1250</v>
      </c>
      <c r="C49" t="s">
        <v>1251</v>
      </c>
      <c r="D49" t="s">
        <v>1252</v>
      </c>
      <c r="E49" t="str">
        <f>"382 41"</f>
        <v>382 41</v>
      </c>
      <c r="F49" t="s">
        <v>1252</v>
      </c>
      <c r="G49" t="s">
        <v>1058</v>
      </c>
      <c r="H49" t="s">
        <v>120</v>
      </c>
      <c r="I49" t="s">
        <v>125</v>
      </c>
    </row>
    <row r="50" spans="1:9" x14ac:dyDescent="0.25">
      <c r="A50" s="4" t="str">
        <f>"2854"</f>
        <v>2854</v>
      </c>
      <c r="B50" s="4" t="s">
        <v>1253</v>
      </c>
      <c r="C50" t="s">
        <v>1254</v>
      </c>
      <c r="D50" t="s">
        <v>1255</v>
      </c>
      <c r="E50" t="str">
        <f>"382 18"</f>
        <v>382 18</v>
      </c>
      <c r="F50" t="s">
        <v>1256</v>
      </c>
      <c r="G50" t="s">
        <v>1058</v>
      </c>
      <c r="H50" t="s">
        <v>120</v>
      </c>
      <c r="I50" t="s">
        <v>125</v>
      </c>
    </row>
    <row r="51" spans="1:9" x14ac:dyDescent="0.25">
      <c r="A51" s="4" t="str">
        <f>"2874"</f>
        <v>2874</v>
      </c>
      <c r="B51" s="4" t="s">
        <v>1257</v>
      </c>
      <c r="C51" t="s">
        <v>1258</v>
      </c>
      <c r="D51" t="s">
        <v>1259</v>
      </c>
      <c r="E51" t="str">
        <f>"382 78"</f>
        <v>382 78</v>
      </c>
      <c r="F51" t="s">
        <v>1259</v>
      </c>
      <c r="G51" t="s">
        <v>1058</v>
      </c>
      <c r="H51" t="s">
        <v>120</v>
      </c>
      <c r="I51" t="s">
        <v>125</v>
      </c>
    </row>
    <row r="52" spans="1:9" x14ac:dyDescent="0.25">
      <c r="A52" s="4" t="str">
        <f>"3210"</f>
        <v>3210</v>
      </c>
      <c r="B52" s="4" t="s">
        <v>1260</v>
      </c>
      <c r="C52" t="s">
        <v>1261</v>
      </c>
      <c r="D52" t="s">
        <v>1262</v>
      </c>
      <c r="E52" t="str">
        <f>"382 92"</f>
        <v>382 92</v>
      </c>
      <c r="F52" t="s">
        <v>1263</v>
      </c>
      <c r="G52" t="s">
        <v>1058</v>
      </c>
      <c r="H52" t="s">
        <v>120</v>
      </c>
      <c r="I52" t="s">
        <v>125</v>
      </c>
    </row>
    <row r="53" spans="1:9" x14ac:dyDescent="0.25">
      <c r="A53" s="4" t="str">
        <f>"4134"</f>
        <v>4134</v>
      </c>
      <c r="B53" s="4" t="s">
        <v>1264</v>
      </c>
      <c r="C53" t="s">
        <v>1265</v>
      </c>
      <c r="D53" t="s">
        <v>1266</v>
      </c>
      <c r="E53" t="str">
        <f>"382 03"</f>
        <v>382 03</v>
      </c>
      <c r="F53" t="s">
        <v>1266</v>
      </c>
      <c r="G53" t="s">
        <v>1058</v>
      </c>
      <c r="H53" t="s">
        <v>120</v>
      </c>
      <c r="I53" t="s">
        <v>125</v>
      </c>
    </row>
    <row r="54" spans="1:9" x14ac:dyDescent="0.25">
      <c r="A54" s="4" t="str">
        <f>"4312"</f>
        <v>4312</v>
      </c>
      <c r="B54" s="4" t="s">
        <v>1267</v>
      </c>
      <c r="C54" t="s">
        <v>1268</v>
      </c>
      <c r="D54" t="s">
        <v>1269</v>
      </c>
      <c r="E54" t="str">
        <f>"381 01"</f>
        <v>381 01</v>
      </c>
      <c r="F54" t="s">
        <v>1270</v>
      </c>
      <c r="G54" t="s">
        <v>1058</v>
      </c>
      <c r="H54" t="s">
        <v>120</v>
      </c>
      <c r="I54" t="s">
        <v>125</v>
      </c>
    </row>
    <row r="55" spans="1:9" x14ac:dyDescent="0.25">
      <c r="A55" s="4" t="str">
        <f>"4708"</f>
        <v>4708</v>
      </c>
      <c r="B55" s="4" t="s">
        <v>1271</v>
      </c>
      <c r="C55" t="s">
        <v>399</v>
      </c>
      <c r="D55" t="s">
        <v>1272</v>
      </c>
      <c r="E55" t="str">
        <f>"382 03"</f>
        <v>382 03</v>
      </c>
      <c r="F55" t="s">
        <v>401</v>
      </c>
      <c r="G55" t="s">
        <v>1058</v>
      </c>
      <c r="H55" t="s">
        <v>120</v>
      </c>
      <c r="I55" t="s">
        <v>125</v>
      </c>
    </row>
    <row r="56" spans="1:9" x14ac:dyDescent="0.25">
      <c r="A56" s="4" t="str">
        <f>"5320"</f>
        <v>5320</v>
      </c>
      <c r="B56" s="4" t="s">
        <v>1273</v>
      </c>
      <c r="C56" t="s">
        <v>1274</v>
      </c>
      <c r="D56" t="s">
        <v>1275</v>
      </c>
      <c r="E56" t="str">
        <f>"382 41"</f>
        <v>382 41</v>
      </c>
      <c r="F56" t="s">
        <v>1275</v>
      </c>
      <c r="G56" t="s">
        <v>1058</v>
      </c>
      <c r="H56" t="s">
        <v>120</v>
      </c>
      <c r="I56" t="s">
        <v>125</v>
      </c>
    </row>
    <row r="57" spans="1:9" x14ac:dyDescent="0.25">
      <c r="A57" s="4" t="str">
        <f>"3457"</f>
        <v>3457</v>
      </c>
      <c r="B57" s="4" t="s">
        <v>1796</v>
      </c>
      <c r="C57" t="s">
        <v>1797</v>
      </c>
      <c r="D57" t="s">
        <v>1798</v>
      </c>
      <c r="E57" t="str">
        <f>"378 02"</f>
        <v>378 02</v>
      </c>
      <c r="F57" t="s">
        <v>1799</v>
      </c>
      <c r="G57" t="s">
        <v>1058</v>
      </c>
      <c r="H57" t="s">
        <v>120</v>
      </c>
      <c r="I57" t="s">
        <v>125</v>
      </c>
    </row>
    <row r="58" spans="1:9" x14ac:dyDescent="0.25">
      <c r="A58" s="4" t="str">
        <f>"6176"</f>
        <v>6176</v>
      </c>
      <c r="B58" s="4" t="s">
        <v>1800</v>
      </c>
      <c r="C58" t="s">
        <v>1801</v>
      </c>
      <c r="D58" t="s">
        <v>1802</v>
      </c>
      <c r="E58" t="str">
        <f>"378 02"</f>
        <v>378 02</v>
      </c>
      <c r="F58" t="s">
        <v>1802</v>
      </c>
      <c r="G58" t="s">
        <v>1058</v>
      </c>
      <c r="H58" t="s">
        <v>120</v>
      </c>
      <c r="I58" t="s">
        <v>125</v>
      </c>
    </row>
    <row r="59" spans="1:9" x14ac:dyDescent="0.25">
      <c r="A59" s="4" t="str">
        <f>"2896"</f>
        <v>2896</v>
      </c>
      <c r="B59" s="4" t="s">
        <v>3893</v>
      </c>
      <c r="C59" t="s">
        <v>3894</v>
      </c>
      <c r="D59" t="s">
        <v>3895</v>
      </c>
      <c r="E59" t="str">
        <f>"398 55"</f>
        <v>398 55</v>
      </c>
      <c r="F59" t="s">
        <v>3896</v>
      </c>
      <c r="G59" t="s">
        <v>1058</v>
      </c>
      <c r="H59" t="s">
        <v>120</v>
      </c>
      <c r="I59" t="s">
        <v>125</v>
      </c>
    </row>
    <row r="60" spans="1:9" x14ac:dyDescent="0.25">
      <c r="A60" s="4" t="str">
        <f>"364"</f>
        <v>364</v>
      </c>
      <c r="B60" s="4" t="s">
        <v>3897</v>
      </c>
      <c r="C60" t="s">
        <v>3898</v>
      </c>
      <c r="D60" t="s">
        <v>3899</v>
      </c>
      <c r="E60" t="str">
        <f>"398 04"</f>
        <v>398 04</v>
      </c>
      <c r="F60" t="s">
        <v>3900</v>
      </c>
      <c r="G60" t="s">
        <v>1058</v>
      </c>
      <c r="H60" t="s">
        <v>120</v>
      </c>
      <c r="I60" t="s">
        <v>125</v>
      </c>
    </row>
    <row r="61" spans="1:9" x14ac:dyDescent="0.25">
      <c r="A61" s="4" t="str">
        <f>"713"</f>
        <v>713</v>
      </c>
      <c r="B61" s="4" t="s">
        <v>3961</v>
      </c>
      <c r="C61" t="s">
        <v>3962</v>
      </c>
      <c r="D61" t="s">
        <v>3963</v>
      </c>
      <c r="E61" t="str">
        <f>"384 42"</f>
        <v>384 42</v>
      </c>
      <c r="F61" t="s">
        <v>3964</v>
      </c>
      <c r="G61" t="s">
        <v>1058</v>
      </c>
      <c r="H61" t="s">
        <v>120</v>
      </c>
      <c r="I61" t="s">
        <v>125</v>
      </c>
    </row>
    <row r="62" spans="1:9" x14ac:dyDescent="0.25">
      <c r="A62" s="4" t="str">
        <f>"1426"</f>
        <v>1426</v>
      </c>
      <c r="B62" s="4" t="s">
        <v>3965</v>
      </c>
      <c r="C62" t="s">
        <v>3966</v>
      </c>
      <c r="D62" s="1">
        <v>46113</v>
      </c>
      <c r="E62" t="str">
        <f>"384 25"</f>
        <v>384 25</v>
      </c>
      <c r="F62" t="s">
        <v>3967</v>
      </c>
      <c r="G62" t="s">
        <v>1058</v>
      </c>
      <c r="H62" t="s">
        <v>120</v>
      </c>
      <c r="I62" t="s">
        <v>125</v>
      </c>
    </row>
    <row r="63" spans="1:9" x14ac:dyDescent="0.25">
      <c r="A63" s="4" t="str">
        <f>"2817"</f>
        <v>2817</v>
      </c>
      <c r="B63" s="4" t="s">
        <v>3968</v>
      </c>
      <c r="C63" t="s">
        <v>3969</v>
      </c>
      <c r="D63" t="s">
        <v>3970</v>
      </c>
      <c r="E63" t="str">
        <f>"384 81"</f>
        <v>384 81</v>
      </c>
      <c r="F63" t="s">
        <v>3971</v>
      </c>
      <c r="G63" t="s">
        <v>1058</v>
      </c>
      <c r="H63" t="s">
        <v>120</v>
      </c>
      <c r="I63" t="s">
        <v>125</v>
      </c>
    </row>
    <row r="64" spans="1:9" x14ac:dyDescent="0.25">
      <c r="A64" s="4" t="str">
        <f>"3212"</f>
        <v>3212</v>
      </c>
      <c r="B64" s="4" t="s">
        <v>3972</v>
      </c>
      <c r="C64" t="s">
        <v>3973</v>
      </c>
      <c r="D64" t="s">
        <v>3974</v>
      </c>
      <c r="E64" t="str">
        <f>"384 71"</f>
        <v>384 71</v>
      </c>
      <c r="F64" t="s">
        <v>3975</v>
      </c>
      <c r="G64" t="s">
        <v>1058</v>
      </c>
      <c r="H64" t="s">
        <v>120</v>
      </c>
      <c r="I64" t="s">
        <v>125</v>
      </c>
    </row>
    <row r="65" spans="1:10" x14ac:dyDescent="0.25">
      <c r="A65" s="4" t="str">
        <f>"3404"</f>
        <v>3404</v>
      </c>
      <c r="B65" s="4" t="s">
        <v>3976</v>
      </c>
      <c r="C65" t="s">
        <v>3977</v>
      </c>
      <c r="D65" t="s">
        <v>3978</v>
      </c>
      <c r="E65" t="str">
        <f>"384 93"</f>
        <v>384 93</v>
      </c>
      <c r="F65" t="s">
        <v>3979</v>
      </c>
      <c r="G65" t="s">
        <v>1058</v>
      </c>
      <c r="H65" t="s">
        <v>120</v>
      </c>
      <c r="I65" t="s">
        <v>125</v>
      </c>
    </row>
    <row r="66" spans="1:10" x14ac:dyDescent="0.25">
      <c r="A66" s="4" t="str">
        <f>"3805"</f>
        <v>3805</v>
      </c>
      <c r="B66" s="4" t="s">
        <v>3980</v>
      </c>
      <c r="C66" t="s">
        <v>3981</v>
      </c>
      <c r="D66" t="s">
        <v>3982</v>
      </c>
      <c r="E66" t="str">
        <f>"384 81"</f>
        <v>384 81</v>
      </c>
      <c r="F66" t="s">
        <v>3982</v>
      </c>
      <c r="G66" t="s">
        <v>1058</v>
      </c>
      <c r="H66" t="s">
        <v>120</v>
      </c>
      <c r="I66" t="s">
        <v>125</v>
      </c>
    </row>
    <row r="67" spans="1:10" x14ac:dyDescent="0.25">
      <c r="A67" s="4" t="str">
        <f>"4616"</f>
        <v>4616</v>
      </c>
      <c r="B67" s="4" t="s">
        <v>3987</v>
      </c>
      <c r="C67" t="s">
        <v>3988</v>
      </c>
      <c r="D67" t="s">
        <v>3989</v>
      </c>
      <c r="E67" t="str">
        <f>"384 27"</f>
        <v>384 27</v>
      </c>
      <c r="F67" t="s">
        <v>3990</v>
      </c>
      <c r="G67" t="s">
        <v>1058</v>
      </c>
      <c r="H67" t="s">
        <v>120</v>
      </c>
      <c r="I67" t="s">
        <v>125</v>
      </c>
    </row>
    <row r="68" spans="1:10" x14ac:dyDescent="0.25">
      <c r="A68" s="4" t="str">
        <f>"5127"</f>
        <v>5127</v>
      </c>
      <c r="B68" s="4" t="s">
        <v>3991</v>
      </c>
      <c r="C68" t="s">
        <v>3992</v>
      </c>
      <c r="D68" t="s">
        <v>3993</v>
      </c>
      <c r="E68" t="str">
        <f>"384 62"</f>
        <v>384 62</v>
      </c>
      <c r="F68" t="s">
        <v>3994</v>
      </c>
      <c r="G68" t="s">
        <v>1058</v>
      </c>
      <c r="H68" t="s">
        <v>120</v>
      </c>
      <c r="I68" t="s">
        <v>125</v>
      </c>
    </row>
    <row r="69" spans="1:10" x14ac:dyDescent="0.25">
      <c r="A69" s="4" t="str">
        <f>"5158"</f>
        <v>5158</v>
      </c>
      <c r="B69" s="4" t="s">
        <v>3995</v>
      </c>
      <c r="C69" t="s">
        <v>3996</v>
      </c>
      <c r="D69" t="s">
        <v>3997</v>
      </c>
      <c r="E69" t="str">
        <f>"384 32"</f>
        <v>384 32</v>
      </c>
      <c r="F69" t="s">
        <v>3998</v>
      </c>
      <c r="G69" t="s">
        <v>1058</v>
      </c>
      <c r="H69" t="s">
        <v>120</v>
      </c>
      <c r="I69" t="s">
        <v>125</v>
      </c>
    </row>
    <row r="70" spans="1:10" x14ac:dyDescent="0.25">
      <c r="A70" s="4" t="str">
        <f>"5430"</f>
        <v>5430</v>
      </c>
      <c r="B70" s="4" t="s">
        <v>3999</v>
      </c>
      <c r="C70" t="s">
        <v>4000</v>
      </c>
      <c r="D70" t="s">
        <v>4001</v>
      </c>
      <c r="E70" t="str">
        <f>"384 81"</f>
        <v>384 81</v>
      </c>
      <c r="F70" t="s">
        <v>4002</v>
      </c>
      <c r="G70" t="s">
        <v>1058</v>
      </c>
      <c r="H70" t="s">
        <v>120</v>
      </c>
      <c r="I70" t="s">
        <v>125</v>
      </c>
    </row>
    <row r="71" spans="1:10" x14ac:dyDescent="0.25">
      <c r="A71" s="4" t="str">
        <f>"1918"</f>
        <v>1918</v>
      </c>
      <c r="B71" s="4" t="s">
        <v>4090</v>
      </c>
      <c r="C71" t="s">
        <v>4091</v>
      </c>
      <c r="D71" t="s">
        <v>4092</v>
      </c>
      <c r="E71" t="str">
        <f>"387 52"</f>
        <v>387 52</v>
      </c>
      <c r="F71" t="s">
        <v>4093</v>
      </c>
      <c r="G71" t="s">
        <v>1058</v>
      </c>
      <c r="H71" t="s">
        <v>120</v>
      </c>
      <c r="I71" t="s">
        <v>125</v>
      </c>
      <c r="J71" t="s">
        <v>4094</v>
      </c>
    </row>
    <row r="72" spans="1:10" x14ac:dyDescent="0.25">
      <c r="A72" s="4" t="str">
        <f>"3133"</f>
        <v>3133</v>
      </c>
      <c r="B72" s="4" t="s">
        <v>4095</v>
      </c>
      <c r="C72" t="s">
        <v>4096</v>
      </c>
      <c r="D72" t="s">
        <v>4097</v>
      </c>
      <c r="E72" t="str">
        <f>"387 73"</f>
        <v>387 73</v>
      </c>
      <c r="F72" t="s">
        <v>4098</v>
      </c>
      <c r="G72" t="s">
        <v>1058</v>
      </c>
      <c r="H72" t="s">
        <v>120</v>
      </c>
      <c r="I72" t="s">
        <v>125</v>
      </c>
    </row>
    <row r="73" spans="1:10" x14ac:dyDescent="0.25">
      <c r="A73" s="4" t="str">
        <f>"5812"</f>
        <v>5812</v>
      </c>
      <c r="B73" s="4" t="s">
        <v>4099</v>
      </c>
      <c r="C73" t="s">
        <v>4100</v>
      </c>
      <c r="D73" t="s">
        <v>4101</v>
      </c>
      <c r="E73" t="str">
        <f>"387 19"</f>
        <v>387 19</v>
      </c>
      <c r="F73" t="s">
        <v>4102</v>
      </c>
      <c r="G73" t="s">
        <v>1058</v>
      </c>
      <c r="H73" t="s">
        <v>120</v>
      </c>
      <c r="I73" t="s">
        <v>125</v>
      </c>
    </row>
    <row r="74" spans="1:10" x14ac:dyDescent="0.25">
      <c r="A74" s="4" t="str">
        <f>"4120"</f>
        <v>4120</v>
      </c>
      <c r="B74" s="4" t="s">
        <v>4195</v>
      </c>
      <c r="C74" t="s">
        <v>4196</v>
      </c>
      <c r="D74" t="s">
        <v>4197</v>
      </c>
      <c r="E74" t="str">
        <f>"391 27"</f>
        <v>391 27</v>
      </c>
      <c r="F74" t="s">
        <v>4198</v>
      </c>
      <c r="G74" t="s">
        <v>1058</v>
      </c>
      <c r="H74" t="s">
        <v>202</v>
      </c>
      <c r="I74" t="s">
        <v>125</v>
      </c>
    </row>
    <row r="75" spans="1:10" x14ac:dyDescent="0.25">
      <c r="A75" s="4" t="str">
        <f>"3800"</f>
        <v>3800</v>
      </c>
      <c r="B75" s="4" t="s">
        <v>4199</v>
      </c>
      <c r="C75" t="s">
        <v>4200</v>
      </c>
      <c r="D75" t="s">
        <v>4201</v>
      </c>
      <c r="E75" t="str">
        <f>"398 52"</f>
        <v>398 52</v>
      </c>
      <c r="F75" t="s">
        <v>4202</v>
      </c>
      <c r="G75" t="s">
        <v>1058</v>
      </c>
      <c r="H75" t="s">
        <v>202</v>
      </c>
      <c r="I75" t="s">
        <v>125</v>
      </c>
    </row>
    <row r="76" spans="1:10" x14ac:dyDescent="0.25">
      <c r="A76" s="4" t="str">
        <f>"1195"</f>
        <v>1195</v>
      </c>
      <c r="B76" s="4" t="s">
        <v>4203</v>
      </c>
      <c r="C76" t="s">
        <v>4204</v>
      </c>
      <c r="D76" t="s">
        <v>4205</v>
      </c>
      <c r="E76" t="str">
        <f>"391 26"</f>
        <v>391 26</v>
      </c>
      <c r="F76" t="s">
        <v>4206</v>
      </c>
      <c r="G76" t="s">
        <v>1058</v>
      </c>
      <c r="H76" t="s">
        <v>202</v>
      </c>
      <c r="I76" t="s">
        <v>125</v>
      </c>
    </row>
    <row r="77" spans="1:10" x14ac:dyDescent="0.25">
      <c r="A77" s="4" t="str">
        <f>"3618"</f>
        <v>3618</v>
      </c>
      <c r="B77" s="4" t="s">
        <v>4207</v>
      </c>
      <c r="C77" t="s">
        <v>4208</v>
      </c>
      <c r="D77" t="s">
        <v>4209</v>
      </c>
      <c r="E77" t="str">
        <f>"391 72"</f>
        <v>391 72</v>
      </c>
      <c r="F77" t="s">
        <v>4210</v>
      </c>
      <c r="G77" t="s">
        <v>1058</v>
      </c>
      <c r="H77" t="s">
        <v>120</v>
      </c>
      <c r="I77" t="s">
        <v>125</v>
      </c>
    </row>
    <row r="78" spans="1:10" x14ac:dyDescent="0.25">
      <c r="A78" s="4" t="str">
        <f>"941"</f>
        <v>941</v>
      </c>
      <c r="B78" s="4" t="s">
        <v>4211</v>
      </c>
      <c r="C78" t="s">
        <v>4212</v>
      </c>
      <c r="D78" t="s">
        <v>4213</v>
      </c>
      <c r="E78" t="str">
        <f>"391 62"</f>
        <v>391 62</v>
      </c>
      <c r="F78" t="s">
        <v>4214</v>
      </c>
      <c r="G78" t="s">
        <v>1058</v>
      </c>
      <c r="H78" t="s">
        <v>120</v>
      </c>
      <c r="I78" t="s">
        <v>125</v>
      </c>
    </row>
    <row r="79" spans="1:10" x14ac:dyDescent="0.25">
      <c r="A79" s="4" t="str">
        <f>"2061"</f>
        <v>2061</v>
      </c>
      <c r="B79" s="4" t="s">
        <v>4215</v>
      </c>
      <c r="C79" t="s">
        <v>4216</v>
      </c>
      <c r="D79" t="s">
        <v>4217</v>
      </c>
      <c r="E79" t="str">
        <f>"390 02"</f>
        <v>390 02</v>
      </c>
      <c r="F79" t="s">
        <v>4218</v>
      </c>
      <c r="G79" t="s">
        <v>1058</v>
      </c>
      <c r="H79" t="s">
        <v>120</v>
      </c>
      <c r="I79" t="s">
        <v>125</v>
      </c>
    </row>
    <row r="80" spans="1:10" x14ac:dyDescent="0.25">
      <c r="A80" s="4" t="str">
        <f>"2777"</f>
        <v>2777</v>
      </c>
      <c r="B80" s="4" t="s">
        <v>4219</v>
      </c>
      <c r="C80" t="s">
        <v>4220</v>
      </c>
      <c r="D80" t="s">
        <v>4221</v>
      </c>
      <c r="E80" t="str">
        <f>"391 31"</f>
        <v>391 31</v>
      </c>
      <c r="F80" t="s">
        <v>4222</v>
      </c>
      <c r="G80" t="s">
        <v>1058</v>
      </c>
      <c r="H80" t="s">
        <v>120</v>
      </c>
      <c r="I80" t="s">
        <v>125</v>
      </c>
    </row>
    <row r="81" spans="1:9" x14ac:dyDescent="0.25">
      <c r="A81" s="4" t="str">
        <f>"2935"</f>
        <v>2935</v>
      </c>
      <c r="B81" s="4" t="s">
        <v>4223</v>
      </c>
      <c r="C81" t="s">
        <v>4224</v>
      </c>
      <c r="D81" t="s">
        <v>4225</v>
      </c>
      <c r="E81" t="str">
        <f>"391 74"</f>
        <v>391 74</v>
      </c>
      <c r="F81" t="s">
        <v>4226</v>
      </c>
      <c r="G81" t="s">
        <v>1058</v>
      </c>
      <c r="H81" t="s">
        <v>120</v>
      </c>
      <c r="I81" t="s">
        <v>125</v>
      </c>
    </row>
    <row r="82" spans="1:9" x14ac:dyDescent="0.25">
      <c r="A82" s="4" t="str">
        <f>"3221"</f>
        <v>3221</v>
      </c>
      <c r="B82" s="4" t="s">
        <v>4227</v>
      </c>
      <c r="C82" t="s">
        <v>4228</v>
      </c>
      <c r="D82" t="s">
        <v>4229</v>
      </c>
      <c r="E82" t="str">
        <f>"390 02"</f>
        <v>390 02</v>
      </c>
      <c r="F82" t="s">
        <v>4230</v>
      </c>
      <c r="G82" t="s">
        <v>1058</v>
      </c>
      <c r="H82" t="s">
        <v>120</v>
      </c>
      <c r="I82" t="s">
        <v>125</v>
      </c>
    </row>
    <row r="83" spans="1:9" x14ac:dyDescent="0.25">
      <c r="A83" s="4" t="str">
        <f>"3446"</f>
        <v>3446</v>
      </c>
      <c r="B83" s="4" t="s">
        <v>4231</v>
      </c>
      <c r="C83" t="s">
        <v>4232</v>
      </c>
      <c r="D83" t="s">
        <v>4233</v>
      </c>
      <c r="E83" t="str">
        <f>"391 43"</f>
        <v>391 43</v>
      </c>
      <c r="F83" t="s">
        <v>4234</v>
      </c>
      <c r="G83" t="s">
        <v>1058</v>
      </c>
      <c r="H83" t="s">
        <v>120</v>
      </c>
      <c r="I83" t="s">
        <v>125</v>
      </c>
    </row>
    <row r="84" spans="1:9" x14ac:dyDescent="0.25">
      <c r="A84" s="4" t="str">
        <f>"3482"</f>
        <v>3482</v>
      </c>
      <c r="B84" s="4" t="s">
        <v>4235</v>
      </c>
      <c r="C84" t="s">
        <v>4236</v>
      </c>
      <c r="D84" t="s">
        <v>4237</v>
      </c>
      <c r="E84" t="str">
        <f>"391 81"</f>
        <v>391 81</v>
      </c>
      <c r="F84" t="s">
        <v>4238</v>
      </c>
      <c r="G84" t="s">
        <v>1058</v>
      </c>
      <c r="H84" t="s">
        <v>120</v>
      </c>
      <c r="I84" t="s">
        <v>125</v>
      </c>
    </row>
    <row r="85" spans="1:9" x14ac:dyDescent="0.25">
      <c r="A85" s="4" t="str">
        <f>"3646"</f>
        <v>3646</v>
      </c>
      <c r="B85" s="4" t="s">
        <v>4239</v>
      </c>
      <c r="C85" t="s">
        <v>4240</v>
      </c>
      <c r="D85" t="s">
        <v>4241</v>
      </c>
      <c r="E85" t="str">
        <f>"392 01"</f>
        <v>392 01</v>
      </c>
      <c r="F85" t="s">
        <v>4242</v>
      </c>
      <c r="G85" t="s">
        <v>1058</v>
      </c>
      <c r="H85" t="s">
        <v>120</v>
      </c>
      <c r="I85" t="s">
        <v>125</v>
      </c>
    </row>
    <row r="86" spans="1:9" x14ac:dyDescent="0.25">
      <c r="A86" s="4" t="str">
        <f>"3900"</f>
        <v>3900</v>
      </c>
      <c r="B86" s="4" t="s">
        <v>4243</v>
      </c>
      <c r="C86" t="s">
        <v>4244</v>
      </c>
      <c r="D86" t="s">
        <v>4245</v>
      </c>
      <c r="E86" t="str">
        <f>"392 01"</f>
        <v>392 01</v>
      </c>
      <c r="F86" t="s">
        <v>4246</v>
      </c>
      <c r="G86" t="s">
        <v>1058</v>
      </c>
      <c r="H86" t="s">
        <v>120</v>
      </c>
      <c r="I86" t="s">
        <v>125</v>
      </c>
    </row>
    <row r="87" spans="1:9" x14ac:dyDescent="0.25">
      <c r="A87" s="4" t="str">
        <f>"3951"</f>
        <v>3951</v>
      </c>
      <c r="B87" s="4" t="s">
        <v>4247</v>
      </c>
      <c r="C87" t="s">
        <v>4248</v>
      </c>
      <c r="D87" t="s">
        <v>4249</v>
      </c>
      <c r="E87" t="str">
        <f>"391 81"</f>
        <v>391 81</v>
      </c>
      <c r="F87" t="s">
        <v>4250</v>
      </c>
      <c r="G87" t="s">
        <v>1058</v>
      </c>
      <c r="H87" t="s">
        <v>120</v>
      </c>
      <c r="I87" t="s">
        <v>125</v>
      </c>
    </row>
    <row r="88" spans="1:9" x14ac:dyDescent="0.25">
      <c r="A88" s="4" t="str">
        <f>"4217"</f>
        <v>4217</v>
      </c>
      <c r="B88" s="4" t="s">
        <v>4251</v>
      </c>
      <c r="C88" t="s">
        <v>4252</v>
      </c>
      <c r="D88" t="s">
        <v>4253</v>
      </c>
      <c r="E88" t="str">
        <f>"391 17"</f>
        <v>391 17</v>
      </c>
      <c r="F88" t="s">
        <v>4254</v>
      </c>
      <c r="G88" t="s">
        <v>1058</v>
      </c>
      <c r="H88" t="s">
        <v>120</v>
      </c>
      <c r="I88" t="s">
        <v>125</v>
      </c>
    </row>
    <row r="89" spans="1:9" x14ac:dyDescent="0.25">
      <c r="A89" s="4" t="str">
        <f>"4339"</f>
        <v>4339</v>
      </c>
      <c r="B89" s="4" t="s">
        <v>4255</v>
      </c>
      <c r="C89" t="s">
        <v>4256</v>
      </c>
      <c r="D89" t="s">
        <v>4257</v>
      </c>
      <c r="E89" t="str">
        <f>"391 52"</f>
        <v>391 52</v>
      </c>
      <c r="F89" t="s">
        <v>4258</v>
      </c>
      <c r="G89" t="s">
        <v>1058</v>
      </c>
      <c r="H89" t="s">
        <v>120</v>
      </c>
      <c r="I89" t="s">
        <v>125</v>
      </c>
    </row>
    <row r="90" spans="1:9" x14ac:dyDescent="0.25">
      <c r="A90" s="4" t="str">
        <f>"4520"</f>
        <v>4520</v>
      </c>
      <c r="B90" s="4" t="s">
        <v>4259</v>
      </c>
      <c r="C90" t="s">
        <v>4260</v>
      </c>
      <c r="D90" t="s">
        <v>4261</v>
      </c>
      <c r="E90" t="str">
        <f>"391 76"</f>
        <v>391 76</v>
      </c>
      <c r="F90" t="s">
        <v>4262</v>
      </c>
      <c r="G90" t="s">
        <v>1058</v>
      </c>
      <c r="H90" t="s">
        <v>120</v>
      </c>
      <c r="I90" t="s">
        <v>125</v>
      </c>
    </row>
    <row r="91" spans="1:9" x14ac:dyDescent="0.25">
      <c r="A91" s="4" t="str">
        <f>"4675"</f>
        <v>4675</v>
      </c>
      <c r="B91" s="4" t="s">
        <v>4263</v>
      </c>
      <c r="C91" t="s">
        <v>4264</v>
      </c>
      <c r="D91" t="s">
        <v>4265</v>
      </c>
      <c r="E91" t="str">
        <f>"391 65"</f>
        <v>391 65</v>
      </c>
      <c r="F91" t="s">
        <v>4266</v>
      </c>
      <c r="G91" t="s">
        <v>1058</v>
      </c>
      <c r="H91" t="s">
        <v>120</v>
      </c>
      <c r="I91" t="s">
        <v>125</v>
      </c>
    </row>
    <row r="92" spans="1:9" x14ac:dyDescent="0.25">
      <c r="A92" s="4" t="str">
        <f>"4411"</f>
        <v>4411</v>
      </c>
      <c r="B92" s="4" t="s">
        <v>3983</v>
      </c>
      <c r="C92" t="s">
        <v>3984</v>
      </c>
      <c r="D92" t="s">
        <v>3985</v>
      </c>
      <c r="E92" t="str">
        <f>"384 44"</f>
        <v>384 44</v>
      </c>
      <c r="F92" t="s">
        <v>3986</v>
      </c>
      <c r="G92" t="s">
        <v>1058</v>
      </c>
      <c r="H92" t="s">
        <v>120</v>
      </c>
      <c r="I92" s="5" t="s">
        <v>125</v>
      </c>
    </row>
    <row r="93" spans="1:9" x14ac:dyDescent="0.25">
      <c r="A93" s="4" t="str">
        <f>"2518"</f>
        <v>2518</v>
      </c>
      <c r="B93" s="4" t="s">
        <v>941</v>
      </c>
      <c r="C93" t="s">
        <v>942</v>
      </c>
      <c r="D93" t="s">
        <v>943</v>
      </c>
      <c r="E93" t="str">
        <f>"664 42"</f>
        <v>664 42</v>
      </c>
      <c r="F93" t="s">
        <v>944</v>
      </c>
      <c r="G93" t="s">
        <v>675</v>
      </c>
      <c r="H93" t="s">
        <v>202</v>
      </c>
      <c r="I93" t="s">
        <v>125</v>
      </c>
    </row>
    <row r="94" spans="1:9" x14ac:dyDescent="0.25">
      <c r="A94" s="4" t="str">
        <f>"6035"</f>
        <v>6035</v>
      </c>
      <c r="B94" s="4" t="s">
        <v>996</v>
      </c>
      <c r="C94" t="s">
        <v>997</v>
      </c>
      <c r="D94" t="s">
        <v>998</v>
      </c>
      <c r="E94" t="str">
        <f>"666 03"</f>
        <v>666 03</v>
      </c>
      <c r="F94" t="s">
        <v>999</v>
      </c>
      <c r="G94" t="s">
        <v>675</v>
      </c>
      <c r="H94" t="s">
        <v>120</v>
      </c>
      <c r="I94" t="s">
        <v>125</v>
      </c>
    </row>
    <row r="95" spans="1:9" x14ac:dyDescent="0.25">
      <c r="A95" s="4" t="str">
        <f>"128"</f>
        <v>128</v>
      </c>
      <c r="B95" s="4" t="s">
        <v>1560</v>
      </c>
      <c r="C95" t="s">
        <v>1561</v>
      </c>
      <c r="D95" t="s">
        <v>1562</v>
      </c>
      <c r="E95" t="str">
        <f>"696 62"</f>
        <v>696 62</v>
      </c>
      <c r="F95" t="s">
        <v>1563</v>
      </c>
      <c r="G95" t="s">
        <v>675</v>
      </c>
      <c r="H95" t="s">
        <v>202</v>
      </c>
      <c r="I95" t="s">
        <v>125</v>
      </c>
    </row>
    <row r="96" spans="1:9" x14ac:dyDescent="0.25">
      <c r="A96" s="4" t="str">
        <f>"3199"</f>
        <v>3199</v>
      </c>
      <c r="B96" s="4" t="s">
        <v>1568</v>
      </c>
      <c r="C96" t="s">
        <v>1569</v>
      </c>
      <c r="D96" t="s">
        <v>1570</v>
      </c>
      <c r="E96" t="str">
        <f>"696 48"</f>
        <v>696 48</v>
      </c>
      <c r="F96" t="s">
        <v>1571</v>
      </c>
      <c r="G96" t="s">
        <v>675</v>
      </c>
      <c r="H96" t="s">
        <v>120</v>
      </c>
      <c r="I96" t="s">
        <v>125</v>
      </c>
    </row>
    <row r="97" spans="1:9" x14ac:dyDescent="0.25">
      <c r="A97" s="4" t="str">
        <f>"1886"</f>
        <v>1886</v>
      </c>
      <c r="B97" s="4" t="s">
        <v>1572</v>
      </c>
      <c r="C97" t="s">
        <v>127</v>
      </c>
      <c r="D97" t="s">
        <v>1573</v>
      </c>
      <c r="E97" t="str">
        <f>"696 61"</f>
        <v>696 61</v>
      </c>
      <c r="F97" t="s">
        <v>1574</v>
      </c>
      <c r="G97" t="s">
        <v>675</v>
      </c>
      <c r="H97" t="s">
        <v>120</v>
      </c>
      <c r="I97" t="s">
        <v>125</v>
      </c>
    </row>
    <row r="98" spans="1:9" x14ac:dyDescent="0.25">
      <c r="A98" s="4" t="str">
        <f>"1211"</f>
        <v>1211</v>
      </c>
      <c r="B98" s="4" t="s">
        <v>1575</v>
      </c>
      <c r="C98" t="s">
        <v>1576</v>
      </c>
      <c r="D98" t="s">
        <v>1577</v>
      </c>
      <c r="E98" t="str">
        <f>"696 85"</f>
        <v>696 85</v>
      </c>
      <c r="F98" t="s">
        <v>1578</v>
      </c>
      <c r="G98" t="s">
        <v>675</v>
      </c>
      <c r="H98" t="s">
        <v>120</v>
      </c>
      <c r="I98" t="s">
        <v>125</v>
      </c>
    </row>
    <row r="99" spans="1:9" x14ac:dyDescent="0.25">
      <c r="A99" s="4" t="str">
        <f>"127"</f>
        <v>127</v>
      </c>
      <c r="B99" s="4" t="s">
        <v>1579</v>
      </c>
      <c r="C99" t="s">
        <v>217</v>
      </c>
      <c r="D99" t="s">
        <v>1580</v>
      </c>
      <c r="E99" t="str">
        <f>"696 63"</f>
        <v>696 63</v>
      </c>
      <c r="F99" t="s">
        <v>1581</v>
      </c>
      <c r="G99" t="s">
        <v>675</v>
      </c>
      <c r="H99" t="s">
        <v>120</v>
      </c>
      <c r="I99" t="s">
        <v>125</v>
      </c>
    </row>
    <row r="100" spans="1:9" x14ac:dyDescent="0.25">
      <c r="A100" s="4" t="str">
        <f>"125"</f>
        <v>125</v>
      </c>
      <c r="B100" s="4" t="s">
        <v>1582</v>
      </c>
      <c r="C100" t="s">
        <v>1583</v>
      </c>
      <c r="D100" t="s">
        <v>1584</v>
      </c>
      <c r="E100" t="str">
        <f>"696 14"</f>
        <v>696 14</v>
      </c>
      <c r="F100" t="s">
        <v>1585</v>
      </c>
      <c r="G100" t="s">
        <v>675</v>
      </c>
      <c r="H100" t="s">
        <v>120</v>
      </c>
      <c r="I100" t="s">
        <v>125</v>
      </c>
    </row>
    <row r="101" spans="1:9" x14ac:dyDescent="0.25">
      <c r="A101" s="4" t="str">
        <f>"0157"</f>
        <v>0157</v>
      </c>
      <c r="B101" s="4" t="s">
        <v>1586</v>
      </c>
      <c r="C101" t="s">
        <v>1587</v>
      </c>
      <c r="D101" t="s">
        <v>1588</v>
      </c>
      <c r="E101" t="str">
        <f>"696 17"</f>
        <v>696 17</v>
      </c>
      <c r="F101" t="s">
        <v>1589</v>
      </c>
      <c r="G101" t="s">
        <v>675</v>
      </c>
      <c r="H101" t="s">
        <v>120</v>
      </c>
      <c r="I101" t="s">
        <v>125</v>
      </c>
    </row>
    <row r="102" spans="1:9" x14ac:dyDescent="0.25">
      <c r="A102" s="4" t="str">
        <f>"139"</f>
        <v>139</v>
      </c>
      <c r="B102" s="4" t="s">
        <v>1590</v>
      </c>
      <c r="C102" t="s">
        <v>777</v>
      </c>
      <c r="D102" t="s">
        <v>1591</v>
      </c>
      <c r="E102" t="str">
        <f>"696 31"</f>
        <v>696 31</v>
      </c>
      <c r="F102" t="s">
        <v>779</v>
      </c>
      <c r="G102" t="s">
        <v>675</v>
      </c>
      <c r="H102" t="s">
        <v>120</v>
      </c>
      <c r="I102" t="s">
        <v>125</v>
      </c>
    </row>
    <row r="103" spans="1:9" x14ac:dyDescent="0.25">
      <c r="A103" s="4" t="str">
        <f>"150"</f>
        <v>150</v>
      </c>
      <c r="B103" s="4" t="s">
        <v>1592</v>
      </c>
      <c r="C103" t="s">
        <v>1593</v>
      </c>
      <c r="D103" t="s">
        <v>1594</v>
      </c>
      <c r="E103" t="str">
        <f>"696 04"</f>
        <v>696 04</v>
      </c>
      <c r="F103" t="s">
        <v>1595</v>
      </c>
      <c r="G103" t="s">
        <v>675</v>
      </c>
      <c r="H103" t="s">
        <v>120</v>
      </c>
      <c r="I103" t="s">
        <v>125</v>
      </c>
    </row>
    <row r="104" spans="1:9" x14ac:dyDescent="0.25">
      <c r="A104" s="4" t="str">
        <f>"158"</f>
        <v>158</v>
      </c>
      <c r="B104" s="4" t="s">
        <v>1600</v>
      </c>
      <c r="C104" t="s">
        <v>1601</v>
      </c>
      <c r="D104" t="s">
        <v>1602</v>
      </c>
      <c r="E104" t="str">
        <f>"696 01"</f>
        <v>696 01</v>
      </c>
      <c r="F104" t="s">
        <v>1603</v>
      </c>
      <c r="G104" t="s">
        <v>675</v>
      </c>
      <c r="H104" t="s">
        <v>120</v>
      </c>
      <c r="I104" t="s">
        <v>125</v>
      </c>
    </row>
    <row r="105" spans="1:9" x14ac:dyDescent="0.25">
      <c r="A105" s="4" t="str">
        <f>"133"</f>
        <v>133</v>
      </c>
      <c r="B105" s="4" t="s">
        <v>1604</v>
      </c>
      <c r="C105" t="s">
        <v>1605</v>
      </c>
      <c r="D105" t="s">
        <v>1606</v>
      </c>
      <c r="E105" t="str">
        <f>"696 35"</f>
        <v>696 35</v>
      </c>
      <c r="F105" t="s">
        <v>1607</v>
      </c>
      <c r="G105" t="s">
        <v>675</v>
      </c>
      <c r="H105" t="s">
        <v>120</v>
      </c>
      <c r="I105" t="s">
        <v>125</v>
      </c>
    </row>
    <row r="106" spans="1:9" x14ac:dyDescent="0.25">
      <c r="A106" s="4" t="str">
        <f>"135"</f>
        <v>135</v>
      </c>
      <c r="B106" s="4" t="s">
        <v>1608</v>
      </c>
      <c r="C106" t="s">
        <v>1609</v>
      </c>
      <c r="D106" t="s">
        <v>1610</v>
      </c>
      <c r="E106" t="str">
        <f>"696 34"</f>
        <v>696 34</v>
      </c>
      <c r="F106" t="s">
        <v>1611</v>
      </c>
      <c r="G106" t="s">
        <v>675</v>
      </c>
      <c r="H106" t="s">
        <v>120</v>
      </c>
      <c r="I106" t="s">
        <v>125</v>
      </c>
    </row>
    <row r="107" spans="1:9" x14ac:dyDescent="0.25">
      <c r="A107" s="4" t="str">
        <f>"136"</f>
        <v>136</v>
      </c>
      <c r="B107" s="4" t="s">
        <v>1612</v>
      </c>
      <c r="C107" t="s">
        <v>1613</v>
      </c>
      <c r="D107" t="s">
        <v>1614</v>
      </c>
      <c r="E107" t="str">
        <f>"696 34"</f>
        <v>696 34</v>
      </c>
      <c r="F107" t="s">
        <v>1615</v>
      </c>
      <c r="G107" t="s">
        <v>675</v>
      </c>
      <c r="H107" t="s">
        <v>120</v>
      </c>
      <c r="I107" t="s">
        <v>125</v>
      </c>
    </row>
    <row r="108" spans="1:9" x14ac:dyDescent="0.25">
      <c r="A108" s="4" t="str">
        <f>"137"</f>
        <v>137</v>
      </c>
      <c r="B108" s="4" t="s">
        <v>1616</v>
      </c>
      <c r="C108" t="s">
        <v>1617</v>
      </c>
      <c r="D108" t="s">
        <v>1618</v>
      </c>
      <c r="E108" t="str">
        <f>"696 06"</f>
        <v>696 06</v>
      </c>
      <c r="F108" t="s">
        <v>1619</v>
      </c>
      <c r="G108" t="s">
        <v>675</v>
      </c>
      <c r="H108" t="s">
        <v>120</v>
      </c>
      <c r="I108" t="s">
        <v>125</v>
      </c>
    </row>
    <row r="109" spans="1:9" x14ac:dyDescent="0.25">
      <c r="A109" s="4" t="str">
        <f>"140"</f>
        <v>140</v>
      </c>
      <c r="B109" s="4" t="s">
        <v>1620</v>
      </c>
      <c r="C109" t="s">
        <v>1621</v>
      </c>
      <c r="D109" t="s">
        <v>1622</v>
      </c>
      <c r="E109" t="str">
        <f>"696 31"</f>
        <v>696 31</v>
      </c>
      <c r="F109" t="s">
        <v>1623</v>
      </c>
      <c r="G109" t="s">
        <v>675</v>
      </c>
      <c r="H109" t="s">
        <v>120</v>
      </c>
      <c r="I109" t="s">
        <v>125</v>
      </c>
    </row>
    <row r="110" spans="1:9" x14ac:dyDescent="0.25">
      <c r="A110" s="4" t="str">
        <f>"141"</f>
        <v>141</v>
      </c>
      <c r="B110" s="4" t="s">
        <v>1624</v>
      </c>
      <c r="C110" t="s">
        <v>1625</v>
      </c>
      <c r="D110" t="s">
        <v>1626</v>
      </c>
      <c r="E110" t="str">
        <f>"696 50"</f>
        <v>696 50</v>
      </c>
      <c r="F110" t="s">
        <v>1627</v>
      </c>
      <c r="G110" t="s">
        <v>675</v>
      </c>
      <c r="H110" t="s">
        <v>120</v>
      </c>
      <c r="I110" t="s">
        <v>125</v>
      </c>
    </row>
    <row r="111" spans="1:9" x14ac:dyDescent="0.25">
      <c r="A111" s="4" t="str">
        <f>"143"</f>
        <v>143</v>
      </c>
      <c r="B111" s="4" t="s">
        <v>1628</v>
      </c>
      <c r="C111" t="s">
        <v>1629</v>
      </c>
      <c r="D111" t="s">
        <v>1630</v>
      </c>
      <c r="E111" t="str">
        <f>"696 50"</f>
        <v>696 50</v>
      </c>
      <c r="F111" t="s">
        <v>991</v>
      </c>
      <c r="G111" t="s">
        <v>675</v>
      </c>
      <c r="H111" t="s">
        <v>120</v>
      </c>
      <c r="I111" t="s">
        <v>125</v>
      </c>
    </row>
    <row r="112" spans="1:9" x14ac:dyDescent="0.25">
      <c r="A112" s="4" t="str">
        <f>"147"</f>
        <v>147</v>
      </c>
      <c r="B112" s="4" t="s">
        <v>1631</v>
      </c>
      <c r="C112" t="s">
        <v>1632</v>
      </c>
      <c r="D112" t="s">
        <v>1633</v>
      </c>
      <c r="E112" t="str">
        <f>"697 01"</f>
        <v>697 01</v>
      </c>
      <c r="F112" t="s">
        <v>1634</v>
      </c>
      <c r="G112" t="s">
        <v>675</v>
      </c>
      <c r="H112" t="s">
        <v>120</v>
      </c>
      <c r="I112" t="s">
        <v>125</v>
      </c>
    </row>
    <row r="113" spans="1:9" x14ac:dyDescent="0.25">
      <c r="A113" s="4" t="str">
        <f>"148"</f>
        <v>148</v>
      </c>
      <c r="B113" s="4" t="s">
        <v>1635</v>
      </c>
      <c r="C113" t="s">
        <v>1636</v>
      </c>
      <c r="D113" t="s">
        <v>1637</v>
      </c>
      <c r="E113" t="str">
        <f>"696 38"</f>
        <v>696 38</v>
      </c>
      <c r="F113" t="s">
        <v>1638</v>
      </c>
      <c r="G113" t="s">
        <v>675</v>
      </c>
      <c r="H113" t="s">
        <v>120</v>
      </c>
      <c r="I113" t="s">
        <v>125</v>
      </c>
    </row>
    <row r="114" spans="1:9" x14ac:dyDescent="0.25">
      <c r="A114" s="4" t="str">
        <f>"152"</f>
        <v>152</v>
      </c>
      <c r="B114" s="4" t="s">
        <v>1639</v>
      </c>
      <c r="C114" t="s">
        <v>1640</v>
      </c>
      <c r="D114" t="s">
        <v>1641</v>
      </c>
      <c r="E114" t="str">
        <f>"696 37"</f>
        <v>696 37</v>
      </c>
      <c r="F114" t="s">
        <v>1642</v>
      </c>
      <c r="G114" t="s">
        <v>675</v>
      </c>
      <c r="H114" t="s">
        <v>120</v>
      </c>
      <c r="I114" t="s">
        <v>125</v>
      </c>
    </row>
    <row r="115" spans="1:9" x14ac:dyDescent="0.25">
      <c r="A115" s="4" t="str">
        <f>"156"</f>
        <v>156</v>
      </c>
      <c r="B115" s="4" t="s">
        <v>1643</v>
      </c>
      <c r="C115" t="s">
        <v>1644</v>
      </c>
      <c r="D115" t="s">
        <v>1645</v>
      </c>
      <c r="E115" t="str">
        <f>"696 49"</f>
        <v>696 49</v>
      </c>
      <c r="F115" t="s">
        <v>1646</v>
      </c>
      <c r="G115" t="s">
        <v>675</v>
      </c>
      <c r="H115" t="s">
        <v>120</v>
      </c>
      <c r="I115" t="s">
        <v>125</v>
      </c>
    </row>
    <row r="116" spans="1:9" x14ac:dyDescent="0.25">
      <c r="A116" s="4" t="str">
        <f>"161"</f>
        <v>161</v>
      </c>
      <c r="B116" s="4" t="s">
        <v>1647</v>
      </c>
      <c r="C116" t="s">
        <v>1648</v>
      </c>
      <c r="D116" t="s">
        <v>1649</v>
      </c>
      <c r="E116" t="str">
        <f>"696 19"</f>
        <v>696 19</v>
      </c>
      <c r="F116" t="s">
        <v>1650</v>
      </c>
      <c r="G116" t="s">
        <v>675</v>
      </c>
      <c r="H116" t="s">
        <v>120</v>
      </c>
      <c r="I116" t="s">
        <v>125</v>
      </c>
    </row>
    <row r="117" spans="1:9" x14ac:dyDescent="0.25">
      <c r="A117" s="4" t="str">
        <f>"162"</f>
        <v>162</v>
      </c>
      <c r="B117" s="4" t="s">
        <v>1651</v>
      </c>
      <c r="C117" t="s">
        <v>1652</v>
      </c>
      <c r="D117" t="s">
        <v>1653</v>
      </c>
      <c r="E117" t="str">
        <f>"696 16"</f>
        <v>696 16</v>
      </c>
      <c r="F117" t="s">
        <v>1654</v>
      </c>
      <c r="G117" t="s">
        <v>675</v>
      </c>
      <c r="H117" t="s">
        <v>120</v>
      </c>
      <c r="I117" t="s">
        <v>125</v>
      </c>
    </row>
    <row r="118" spans="1:9" x14ac:dyDescent="0.25">
      <c r="A118" s="4" t="str">
        <f>"163"</f>
        <v>163</v>
      </c>
      <c r="B118" s="4" t="s">
        <v>1655</v>
      </c>
      <c r="C118" t="s">
        <v>1656</v>
      </c>
      <c r="D118" t="s">
        <v>1657</v>
      </c>
      <c r="E118" t="str">
        <f>"696 02"</f>
        <v>696 02</v>
      </c>
      <c r="F118" t="s">
        <v>1658</v>
      </c>
      <c r="G118" t="s">
        <v>675</v>
      </c>
      <c r="H118" t="s">
        <v>120</v>
      </c>
      <c r="I118" t="s">
        <v>125</v>
      </c>
    </row>
    <row r="119" spans="1:9" x14ac:dyDescent="0.25">
      <c r="A119" s="4" t="str">
        <f>"165"</f>
        <v>165</v>
      </c>
      <c r="B119" s="4" t="s">
        <v>1659</v>
      </c>
      <c r="C119" t="s">
        <v>1660</v>
      </c>
      <c r="D119" t="s">
        <v>1661</v>
      </c>
      <c r="E119" t="str">
        <f>"696 67"</f>
        <v>696 67</v>
      </c>
      <c r="F119" t="s">
        <v>1662</v>
      </c>
      <c r="G119" t="s">
        <v>675</v>
      </c>
      <c r="H119" t="s">
        <v>120</v>
      </c>
      <c r="I119" t="s">
        <v>125</v>
      </c>
    </row>
    <row r="120" spans="1:9" x14ac:dyDescent="0.25">
      <c r="A120" s="4" t="str">
        <f>"166"</f>
        <v>166</v>
      </c>
      <c r="B120" s="4" t="s">
        <v>1663</v>
      </c>
      <c r="C120" t="s">
        <v>494</v>
      </c>
      <c r="D120" t="s">
        <v>1664</v>
      </c>
      <c r="E120" t="str">
        <f>"696 65"</f>
        <v>696 65</v>
      </c>
      <c r="F120" t="s">
        <v>496</v>
      </c>
      <c r="G120" t="s">
        <v>675</v>
      </c>
      <c r="H120" t="s">
        <v>120</v>
      </c>
      <c r="I120" t="s">
        <v>125</v>
      </c>
    </row>
    <row r="121" spans="1:9" x14ac:dyDescent="0.25">
      <c r="A121" s="4" t="str">
        <f>"167"</f>
        <v>167</v>
      </c>
      <c r="B121" s="4" t="s">
        <v>1665</v>
      </c>
      <c r="C121" t="s">
        <v>1666</v>
      </c>
      <c r="D121" t="s">
        <v>1667</v>
      </c>
      <c r="E121" t="str">
        <f>"696 71"</f>
        <v>696 71</v>
      </c>
      <c r="F121" t="s">
        <v>1668</v>
      </c>
      <c r="G121" t="s">
        <v>675</v>
      </c>
      <c r="H121" t="s">
        <v>120</v>
      </c>
      <c r="I121" t="s">
        <v>125</v>
      </c>
    </row>
    <row r="122" spans="1:9" x14ac:dyDescent="0.25">
      <c r="A122" s="4" t="str">
        <f>"170"</f>
        <v>170</v>
      </c>
      <c r="B122" s="4" t="s">
        <v>1669</v>
      </c>
      <c r="C122" t="s">
        <v>1670</v>
      </c>
      <c r="D122" t="s">
        <v>1671</v>
      </c>
      <c r="E122" t="str">
        <f>"696 64"</f>
        <v>696 64</v>
      </c>
      <c r="F122" t="s">
        <v>1672</v>
      </c>
      <c r="G122" t="s">
        <v>675</v>
      </c>
      <c r="H122" t="s">
        <v>120</v>
      </c>
      <c r="I122" t="s">
        <v>125</v>
      </c>
    </row>
    <row r="123" spans="1:9" x14ac:dyDescent="0.25">
      <c r="A123" s="4" t="str">
        <f>"172"</f>
        <v>172</v>
      </c>
      <c r="B123" s="4" t="s">
        <v>1673</v>
      </c>
      <c r="C123" t="s">
        <v>1674</v>
      </c>
      <c r="D123" t="s">
        <v>1675</v>
      </c>
      <c r="E123" t="str">
        <f>"696 72"</f>
        <v>696 72</v>
      </c>
      <c r="F123" t="s">
        <v>1676</v>
      </c>
      <c r="G123" t="s">
        <v>675</v>
      </c>
      <c r="H123" t="s">
        <v>120</v>
      </c>
      <c r="I123" t="s">
        <v>125</v>
      </c>
    </row>
    <row r="124" spans="1:9" x14ac:dyDescent="0.25">
      <c r="A124" s="4" t="str">
        <f>"176"</f>
        <v>176</v>
      </c>
      <c r="B124" s="4" t="s">
        <v>1677</v>
      </c>
      <c r="C124" t="s">
        <v>1678</v>
      </c>
      <c r="D124" t="s">
        <v>1679</v>
      </c>
      <c r="E124" t="str">
        <f>"696 71"</f>
        <v>696 71</v>
      </c>
      <c r="F124" t="s">
        <v>1680</v>
      </c>
      <c r="G124" t="s">
        <v>675</v>
      </c>
      <c r="H124" t="s">
        <v>120</v>
      </c>
      <c r="I124" t="s">
        <v>125</v>
      </c>
    </row>
    <row r="125" spans="1:9" x14ac:dyDescent="0.25">
      <c r="A125" s="4" t="str">
        <f>"178"</f>
        <v>178</v>
      </c>
      <c r="B125" s="4" t="s">
        <v>1681</v>
      </c>
      <c r="C125" t="s">
        <v>1682</v>
      </c>
      <c r="D125" t="s">
        <v>1683</v>
      </c>
      <c r="E125" t="str">
        <f>"696 63"</f>
        <v>696 63</v>
      </c>
      <c r="F125" t="s">
        <v>1684</v>
      </c>
      <c r="G125" t="s">
        <v>675</v>
      </c>
      <c r="H125" t="s">
        <v>120</v>
      </c>
      <c r="I125" t="s">
        <v>125</v>
      </c>
    </row>
    <row r="126" spans="1:9" x14ac:dyDescent="0.25">
      <c r="A126" s="4" t="str">
        <f>"180"</f>
        <v>180</v>
      </c>
      <c r="B126" s="4" t="s">
        <v>1685</v>
      </c>
      <c r="C126" t="s">
        <v>1686</v>
      </c>
      <c r="D126" t="s">
        <v>1687</v>
      </c>
      <c r="E126" t="str">
        <f>"696 74"</f>
        <v>696 74</v>
      </c>
      <c r="F126" t="s">
        <v>1688</v>
      </c>
      <c r="G126" t="s">
        <v>675</v>
      </c>
      <c r="H126" t="s">
        <v>120</v>
      </c>
      <c r="I126" t="s">
        <v>125</v>
      </c>
    </row>
    <row r="127" spans="1:9" x14ac:dyDescent="0.25">
      <c r="A127" s="4" t="str">
        <f>"181"</f>
        <v>181</v>
      </c>
      <c r="B127" s="4" t="s">
        <v>1689</v>
      </c>
      <c r="C127" t="s">
        <v>1690</v>
      </c>
      <c r="D127" t="s">
        <v>1691</v>
      </c>
      <c r="E127" t="str">
        <f>"696 12"</f>
        <v>696 12</v>
      </c>
      <c r="F127" t="s">
        <v>1692</v>
      </c>
      <c r="G127" t="s">
        <v>675</v>
      </c>
      <c r="H127" t="s">
        <v>120</v>
      </c>
      <c r="I127" t="s">
        <v>125</v>
      </c>
    </row>
    <row r="128" spans="1:9" x14ac:dyDescent="0.25">
      <c r="A128" s="4" t="str">
        <f>"184"</f>
        <v>184</v>
      </c>
      <c r="B128" s="4" t="s">
        <v>1693</v>
      </c>
      <c r="C128" t="s">
        <v>1694</v>
      </c>
      <c r="D128" t="s">
        <v>1695</v>
      </c>
      <c r="E128" t="str">
        <f>"696 36"</f>
        <v>696 36</v>
      </c>
      <c r="F128" t="s">
        <v>1696</v>
      </c>
      <c r="G128" t="s">
        <v>675</v>
      </c>
      <c r="H128" t="s">
        <v>120</v>
      </c>
      <c r="I128" t="s">
        <v>125</v>
      </c>
    </row>
    <row r="129" spans="1:9" x14ac:dyDescent="0.25">
      <c r="A129" s="4" t="str">
        <f>"192"</f>
        <v>192</v>
      </c>
      <c r="B129" s="4" t="s">
        <v>1697</v>
      </c>
      <c r="C129" t="s">
        <v>1698</v>
      </c>
      <c r="D129" t="s">
        <v>1699</v>
      </c>
      <c r="E129" t="str">
        <f>"696 83"</f>
        <v>696 83</v>
      </c>
      <c r="F129" t="s">
        <v>1700</v>
      </c>
      <c r="G129" t="s">
        <v>675</v>
      </c>
      <c r="H129" t="s">
        <v>120</v>
      </c>
      <c r="I129" t="s">
        <v>125</v>
      </c>
    </row>
    <row r="130" spans="1:9" x14ac:dyDescent="0.25">
      <c r="A130" s="4" t="str">
        <f>"3262"</f>
        <v>3262</v>
      </c>
      <c r="B130" s="4" t="s">
        <v>1705</v>
      </c>
      <c r="C130" t="s">
        <v>1706</v>
      </c>
      <c r="D130" t="s">
        <v>1707</v>
      </c>
      <c r="E130" t="str">
        <f>"696 48"</f>
        <v>696 48</v>
      </c>
      <c r="F130" t="s">
        <v>1708</v>
      </c>
      <c r="G130" t="s">
        <v>675</v>
      </c>
      <c r="H130" t="s">
        <v>120</v>
      </c>
      <c r="I130" t="s">
        <v>125</v>
      </c>
    </row>
    <row r="131" spans="1:9" x14ac:dyDescent="0.25">
      <c r="A131" s="4" t="str">
        <f>"3675"</f>
        <v>3675</v>
      </c>
      <c r="B131" s="4" t="s">
        <v>4617</v>
      </c>
      <c r="C131" t="s">
        <v>4618</v>
      </c>
      <c r="D131" t="s">
        <v>4619</v>
      </c>
      <c r="E131" t="str">
        <f t="shared" ref="E131:E136" si="0">"682 01"</f>
        <v>682 01</v>
      </c>
      <c r="F131" t="s">
        <v>4620</v>
      </c>
      <c r="G131" t="s">
        <v>675</v>
      </c>
      <c r="H131" t="s">
        <v>120</v>
      </c>
      <c r="I131" t="s">
        <v>125</v>
      </c>
    </row>
    <row r="132" spans="1:9" x14ac:dyDescent="0.25">
      <c r="A132" s="4" t="str">
        <f>"3676"</f>
        <v>3676</v>
      </c>
      <c r="B132" s="4" t="s">
        <v>4621</v>
      </c>
      <c r="C132" t="s">
        <v>4622</v>
      </c>
      <c r="D132" t="s">
        <v>4623</v>
      </c>
      <c r="E132" t="str">
        <f t="shared" si="0"/>
        <v>682 01</v>
      </c>
      <c r="F132" t="s">
        <v>4624</v>
      </c>
      <c r="G132" t="s">
        <v>675</v>
      </c>
      <c r="H132" t="s">
        <v>120</v>
      </c>
      <c r="I132" t="s">
        <v>125</v>
      </c>
    </row>
    <row r="133" spans="1:9" x14ac:dyDescent="0.25">
      <c r="A133" s="4" t="str">
        <f>"3954"</f>
        <v>3954</v>
      </c>
      <c r="B133" s="4" t="s">
        <v>4625</v>
      </c>
      <c r="C133" t="s">
        <v>4626</v>
      </c>
      <c r="D133" t="s">
        <v>4627</v>
      </c>
      <c r="E133" t="str">
        <f t="shared" si="0"/>
        <v>682 01</v>
      </c>
      <c r="F133" t="s">
        <v>4628</v>
      </c>
      <c r="G133" t="s">
        <v>675</v>
      </c>
      <c r="H133" t="s">
        <v>120</v>
      </c>
      <c r="I133" t="s">
        <v>125</v>
      </c>
    </row>
    <row r="134" spans="1:9" x14ac:dyDescent="0.25">
      <c r="A134" s="4" t="str">
        <f>"3976"</f>
        <v>3976</v>
      </c>
      <c r="B134" s="4" t="s">
        <v>4629</v>
      </c>
      <c r="C134" t="s">
        <v>4630</v>
      </c>
      <c r="D134" t="s">
        <v>4631</v>
      </c>
      <c r="E134" t="str">
        <f t="shared" si="0"/>
        <v>682 01</v>
      </c>
      <c r="F134" t="s">
        <v>4632</v>
      </c>
      <c r="G134" t="s">
        <v>675</v>
      </c>
      <c r="H134" t="s">
        <v>120</v>
      </c>
      <c r="I134" t="s">
        <v>125</v>
      </c>
    </row>
    <row r="135" spans="1:9" x14ac:dyDescent="0.25">
      <c r="A135" s="4" t="str">
        <f>"4177"</f>
        <v>4177</v>
      </c>
      <c r="B135" s="4" t="s">
        <v>4633</v>
      </c>
      <c r="C135" t="s">
        <v>4634</v>
      </c>
      <c r="D135" t="s">
        <v>4635</v>
      </c>
      <c r="E135" t="str">
        <f t="shared" si="0"/>
        <v>682 01</v>
      </c>
      <c r="F135" t="s">
        <v>4636</v>
      </c>
      <c r="G135" t="s">
        <v>675</v>
      </c>
      <c r="H135" t="s">
        <v>120</v>
      </c>
      <c r="I135" t="s">
        <v>125</v>
      </c>
    </row>
    <row r="136" spans="1:9" x14ac:dyDescent="0.25">
      <c r="A136" s="4" t="str">
        <f>"4601"</f>
        <v>4601</v>
      </c>
      <c r="B136" s="4" t="s">
        <v>4637</v>
      </c>
      <c r="C136" t="s">
        <v>4638</v>
      </c>
      <c r="D136" t="s">
        <v>4639</v>
      </c>
      <c r="E136" t="str">
        <f t="shared" si="0"/>
        <v>682 01</v>
      </c>
      <c r="F136" t="s">
        <v>4640</v>
      </c>
      <c r="G136" t="s">
        <v>675</v>
      </c>
      <c r="H136" t="s">
        <v>120</v>
      </c>
      <c r="I136" t="s">
        <v>125</v>
      </c>
    </row>
    <row r="137" spans="1:9" x14ac:dyDescent="0.25">
      <c r="A137" s="4" t="str">
        <f>"4373"</f>
        <v>4373</v>
      </c>
      <c r="B137" s="4" t="s">
        <v>4645</v>
      </c>
      <c r="C137" t="s">
        <v>4646</v>
      </c>
      <c r="D137" t="s">
        <v>4647</v>
      </c>
      <c r="E137" t="str">
        <f>"683 01"</f>
        <v>683 01</v>
      </c>
      <c r="F137" t="s">
        <v>4648</v>
      </c>
      <c r="G137" t="s">
        <v>675</v>
      </c>
      <c r="H137" t="s">
        <v>202</v>
      </c>
      <c r="I137" t="s">
        <v>125</v>
      </c>
    </row>
    <row r="138" spans="1:9" x14ac:dyDescent="0.25">
      <c r="A138" s="4" t="str">
        <f>"4407"</f>
        <v>4407</v>
      </c>
      <c r="B138" s="4" t="s">
        <v>4649</v>
      </c>
      <c r="C138" t="s">
        <v>4650</v>
      </c>
      <c r="D138" t="s">
        <v>4651</v>
      </c>
      <c r="E138" t="str">
        <f>"683 33"</f>
        <v>683 33</v>
      </c>
      <c r="F138" t="s">
        <v>4652</v>
      </c>
      <c r="G138" t="s">
        <v>675</v>
      </c>
      <c r="H138" t="s">
        <v>120</v>
      </c>
      <c r="I138" t="s">
        <v>125</v>
      </c>
    </row>
    <row r="139" spans="1:9" x14ac:dyDescent="0.25">
      <c r="A139" s="4" t="str">
        <f>"3170"</f>
        <v>3170</v>
      </c>
      <c r="B139" s="4" t="s">
        <v>4653</v>
      </c>
      <c r="C139" t="s">
        <v>127</v>
      </c>
      <c r="D139" t="s">
        <v>4654</v>
      </c>
      <c r="E139" t="str">
        <f>"683 52"</f>
        <v>683 52</v>
      </c>
      <c r="F139" t="s">
        <v>4655</v>
      </c>
      <c r="G139" t="s">
        <v>675</v>
      </c>
      <c r="H139" t="s">
        <v>120</v>
      </c>
      <c r="I139" t="s">
        <v>125</v>
      </c>
    </row>
    <row r="140" spans="1:9" x14ac:dyDescent="0.25">
      <c r="A140" s="4" t="str">
        <f>"3664"</f>
        <v>3664</v>
      </c>
      <c r="B140" s="4" t="s">
        <v>4656</v>
      </c>
      <c r="C140" t="s">
        <v>225</v>
      </c>
      <c r="D140" t="s">
        <v>4657</v>
      </c>
      <c r="E140" t="str">
        <f>"683 23"</f>
        <v>683 23</v>
      </c>
      <c r="F140" t="s">
        <v>4658</v>
      </c>
      <c r="G140" t="s">
        <v>675</v>
      </c>
      <c r="H140" t="s">
        <v>202</v>
      </c>
      <c r="I140" t="s">
        <v>125</v>
      </c>
    </row>
    <row r="141" spans="1:9" x14ac:dyDescent="0.25">
      <c r="A141" s="4" t="str">
        <f>"4565"</f>
        <v>4565</v>
      </c>
      <c r="B141" s="4" t="s">
        <v>4659</v>
      </c>
      <c r="C141" t="s">
        <v>4660</v>
      </c>
      <c r="D141" t="s">
        <v>4661</v>
      </c>
      <c r="E141" t="str">
        <f>"683 04"</f>
        <v>683 04</v>
      </c>
      <c r="F141" t="s">
        <v>701</v>
      </c>
      <c r="G141" t="s">
        <v>675</v>
      </c>
      <c r="H141" t="s">
        <v>120</v>
      </c>
      <c r="I141" t="s">
        <v>125</v>
      </c>
    </row>
    <row r="142" spans="1:9" x14ac:dyDescent="0.25">
      <c r="A142" s="4" t="str">
        <f>"3185"</f>
        <v>3185</v>
      </c>
      <c r="B142" s="4" t="s">
        <v>4662</v>
      </c>
      <c r="C142" t="s">
        <v>4663</v>
      </c>
      <c r="D142" t="s">
        <v>4664</v>
      </c>
      <c r="E142" t="str">
        <f>"683 54"</f>
        <v>683 54</v>
      </c>
      <c r="F142" t="s">
        <v>4665</v>
      </c>
      <c r="G142" t="s">
        <v>675</v>
      </c>
      <c r="H142" t="s">
        <v>120</v>
      </c>
      <c r="I142" t="s">
        <v>125</v>
      </c>
    </row>
    <row r="143" spans="1:9" x14ac:dyDescent="0.25">
      <c r="A143" s="4" t="str">
        <f>"3560"</f>
        <v>3560</v>
      </c>
      <c r="B143" s="4" t="s">
        <v>4666</v>
      </c>
      <c r="C143" t="s">
        <v>4667</v>
      </c>
      <c r="D143" t="s">
        <v>4668</v>
      </c>
      <c r="E143" t="str">
        <f>"683 21"</f>
        <v>683 21</v>
      </c>
      <c r="F143" t="s">
        <v>4669</v>
      </c>
      <c r="G143" t="s">
        <v>675</v>
      </c>
      <c r="H143" t="s">
        <v>120</v>
      </c>
      <c r="I143" t="s">
        <v>125</v>
      </c>
    </row>
    <row r="144" spans="1:9" x14ac:dyDescent="0.25">
      <c r="A144" s="4" t="str">
        <f>"1654"</f>
        <v>1654</v>
      </c>
      <c r="B144" s="4" t="s">
        <v>4670</v>
      </c>
      <c r="C144" t="s">
        <v>4671</v>
      </c>
      <c r="D144" t="s">
        <v>4672</v>
      </c>
      <c r="E144" t="str">
        <f>"683 21"</f>
        <v>683 21</v>
      </c>
      <c r="F144" t="s">
        <v>4673</v>
      </c>
      <c r="G144" t="s">
        <v>675</v>
      </c>
      <c r="H144" t="s">
        <v>120</v>
      </c>
      <c r="I144" t="s">
        <v>125</v>
      </c>
    </row>
    <row r="145" spans="1:9" x14ac:dyDescent="0.25">
      <c r="A145" s="4" t="str">
        <f>"2077"</f>
        <v>2077</v>
      </c>
      <c r="B145" s="4" t="s">
        <v>4674</v>
      </c>
      <c r="C145" t="s">
        <v>4675</v>
      </c>
      <c r="D145" t="s">
        <v>4676</v>
      </c>
      <c r="E145" t="str">
        <f>"683 55"</f>
        <v>683 55</v>
      </c>
      <c r="F145" t="s">
        <v>4677</v>
      </c>
      <c r="G145" t="s">
        <v>675</v>
      </c>
      <c r="H145" t="s">
        <v>120</v>
      </c>
      <c r="I145" t="s">
        <v>125</v>
      </c>
    </row>
    <row r="146" spans="1:9" x14ac:dyDescent="0.25">
      <c r="A146" s="4" t="str">
        <f>"2312"</f>
        <v>2312</v>
      </c>
      <c r="B146" s="4" t="s">
        <v>4678</v>
      </c>
      <c r="C146" t="s">
        <v>4679</v>
      </c>
      <c r="D146" t="s">
        <v>4680</v>
      </c>
      <c r="E146" t="str">
        <f>"683 52"</f>
        <v>683 52</v>
      </c>
      <c r="F146" t="s">
        <v>4681</v>
      </c>
      <c r="G146" t="s">
        <v>675</v>
      </c>
      <c r="H146" t="s">
        <v>120</v>
      </c>
      <c r="I146" t="s">
        <v>125</v>
      </c>
    </row>
    <row r="147" spans="1:9" x14ac:dyDescent="0.25">
      <c r="A147" s="4" t="str">
        <f>"3003"</f>
        <v>3003</v>
      </c>
      <c r="B147" s="4" t="s">
        <v>4682</v>
      </c>
      <c r="C147" t="s">
        <v>4683</v>
      </c>
      <c r="D147" t="s">
        <v>4684</v>
      </c>
      <c r="E147" t="str">
        <f>"683 41"</f>
        <v>683 41</v>
      </c>
      <c r="F147" t="s">
        <v>4685</v>
      </c>
      <c r="G147" t="s">
        <v>675</v>
      </c>
      <c r="H147" t="s">
        <v>120</v>
      </c>
      <c r="I147" t="s">
        <v>125</v>
      </c>
    </row>
    <row r="148" spans="1:9" x14ac:dyDescent="0.25">
      <c r="A148" s="4" t="str">
        <f>"3075"</f>
        <v>3075</v>
      </c>
      <c r="B148" s="4" t="s">
        <v>4686</v>
      </c>
      <c r="C148" t="s">
        <v>4687</v>
      </c>
      <c r="D148" t="s">
        <v>4688</v>
      </c>
      <c r="E148" t="str">
        <f>"683 51"</f>
        <v>683 51</v>
      </c>
      <c r="F148" t="s">
        <v>4689</v>
      </c>
      <c r="G148" t="s">
        <v>675</v>
      </c>
      <c r="H148" t="s">
        <v>120</v>
      </c>
      <c r="I148" t="s">
        <v>125</v>
      </c>
    </row>
    <row r="149" spans="1:9" x14ac:dyDescent="0.25">
      <c r="A149" s="4" t="str">
        <f>"3143"</f>
        <v>3143</v>
      </c>
      <c r="B149" s="4" t="s">
        <v>4690</v>
      </c>
      <c r="C149" t="s">
        <v>4691</v>
      </c>
      <c r="D149" t="s">
        <v>4692</v>
      </c>
      <c r="E149" t="str">
        <f>"683 23"</f>
        <v>683 23</v>
      </c>
      <c r="F149" t="s">
        <v>4693</v>
      </c>
      <c r="G149" t="s">
        <v>675</v>
      </c>
      <c r="H149" t="s">
        <v>120</v>
      </c>
      <c r="I149" t="s">
        <v>125</v>
      </c>
    </row>
    <row r="150" spans="1:9" x14ac:dyDescent="0.25">
      <c r="A150" s="4" t="str">
        <f>"3271"</f>
        <v>3271</v>
      </c>
      <c r="B150" s="4" t="s">
        <v>4694</v>
      </c>
      <c r="C150" t="s">
        <v>4695</v>
      </c>
      <c r="D150" t="s">
        <v>4696</v>
      </c>
      <c r="E150" t="str">
        <f>"684 01"</f>
        <v>684 01</v>
      </c>
      <c r="F150" t="s">
        <v>4697</v>
      </c>
      <c r="G150" t="s">
        <v>675</v>
      </c>
      <c r="H150" t="s">
        <v>120</v>
      </c>
      <c r="I150" t="s">
        <v>125</v>
      </c>
    </row>
    <row r="151" spans="1:9" x14ac:dyDescent="0.25">
      <c r="A151" s="4" t="str">
        <f>"3391"</f>
        <v>3391</v>
      </c>
      <c r="B151" s="4" t="s">
        <v>4698</v>
      </c>
      <c r="C151" t="s">
        <v>4699</v>
      </c>
      <c r="D151" t="s">
        <v>4700</v>
      </c>
      <c r="E151" t="str">
        <f>"683 03"</f>
        <v>683 03</v>
      </c>
      <c r="F151" t="s">
        <v>4701</v>
      </c>
      <c r="G151" t="s">
        <v>675</v>
      </c>
      <c r="H151" t="s">
        <v>120</v>
      </c>
      <c r="I151" t="s">
        <v>125</v>
      </c>
    </row>
    <row r="152" spans="1:9" x14ac:dyDescent="0.25">
      <c r="A152" s="4" t="str">
        <f>"3394"</f>
        <v>3394</v>
      </c>
      <c r="B152" s="4" t="s">
        <v>4702</v>
      </c>
      <c r="C152" t="s">
        <v>4703</v>
      </c>
      <c r="D152" t="s">
        <v>4704</v>
      </c>
      <c r="E152" t="str">
        <f>"683 01"</f>
        <v>683 01</v>
      </c>
      <c r="F152" t="s">
        <v>4705</v>
      </c>
      <c r="G152" t="s">
        <v>675</v>
      </c>
      <c r="H152" t="s">
        <v>120</v>
      </c>
      <c r="I152" t="s">
        <v>125</v>
      </c>
    </row>
    <row r="153" spans="1:9" x14ac:dyDescent="0.25">
      <c r="A153" s="4" t="str">
        <f>"3555"</f>
        <v>3555</v>
      </c>
      <c r="B153" s="4" t="s">
        <v>4706</v>
      </c>
      <c r="C153" t="s">
        <v>4707</v>
      </c>
      <c r="D153" t="s">
        <v>4708</v>
      </c>
      <c r="E153" t="str">
        <f>"684 01"</f>
        <v>684 01</v>
      </c>
      <c r="F153" t="s">
        <v>4708</v>
      </c>
      <c r="G153" t="s">
        <v>675</v>
      </c>
      <c r="H153" t="s">
        <v>120</v>
      </c>
      <c r="I153" t="s">
        <v>125</v>
      </c>
    </row>
    <row r="154" spans="1:9" x14ac:dyDescent="0.25">
      <c r="A154" s="4" t="str">
        <f>"3588"</f>
        <v>3588</v>
      </c>
      <c r="B154" s="4" t="s">
        <v>4709</v>
      </c>
      <c r="C154" t="s">
        <v>4710</v>
      </c>
      <c r="D154" t="s">
        <v>4711</v>
      </c>
      <c r="E154" t="str">
        <f>"683 01"</f>
        <v>683 01</v>
      </c>
      <c r="F154" t="s">
        <v>4712</v>
      </c>
      <c r="G154" t="s">
        <v>675</v>
      </c>
      <c r="H154" t="s">
        <v>120</v>
      </c>
      <c r="I154" t="s">
        <v>125</v>
      </c>
    </row>
    <row r="155" spans="1:9" x14ac:dyDescent="0.25">
      <c r="A155" s="4" t="str">
        <f>"3616"</f>
        <v>3616</v>
      </c>
      <c r="B155" s="4" t="s">
        <v>4713</v>
      </c>
      <c r="C155" t="s">
        <v>4714</v>
      </c>
      <c r="D155" t="s">
        <v>4715</v>
      </c>
      <c r="E155" t="str">
        <f>"683 52"</f>
        <v>683 52</v>
      </c>
      <c r="F155" t="s">
        <v>1966</v>
      </c>
      <c r="G155" t="s">
        <v>675</v>
      </c>
      <c r="H155" t="s">
        <v>120</v>
      </c>
      <c r="I155" t="s">
        <v>125</v>
      </c>
    </row>
    <row r="156" spans="1:9" x14ac:dyDescent="0.25">
      <c r="A156" s="4" t="str">
        <f>"3622"</f>
        <v>3622</v>
      </c>
      <c r="B156" s="4" t="s">
        <v>4716</v>
      </c>
      <c r="C156" t="s">
        <v>4717</v>
      </c>
      <c r="D156" t="s">
        <v>4718</v>
      </c>
      <c r="E156" t="str">
        <f>"683 52"</f>
        <v>683 52</v>
      </c>
      <c r="F156" t="s">
        <v>4719</v>
      </c>
      <c r="G156" t="s">
        <v>675</v>
      </c>
      <c r="H156" t="s">
        <v>120</v>
      </c>
      <c r="I156" t="s">
        <v>125</v>
      </c>
    </row>
    <row r="157" spans="1:9" x14ac:dyDescent="0.25">
      <c r="A157" s="4" t="str">
        <f>"3690"</f>
        <v>3690</v>
      </c>
      <c r="B157" s="4" t="s">
        <v>4720</v>
      </c>
      <c r="C157" t="s">
        <v>4721</v>
      </c>
      <c r="D157" t="s">
        <v>4722</v>
      </c>
      <c r="E157" t="str">
        <f>"683 05"</f>
        <v>683 05</v>
      </c>
      <c r="F157" t="s">
        <v>4723</v>
      </c>
      <c r="G157" t="s">
        <v>675</v>
      </c>
      <c r="H157" t="s">
        <v>120</v>
      </c>
      <c r="I157" t="s">
        <v>125</v>
      </c>
    </row>
    <row r="158" spans="1:9" x14ac:dyDescent="0.25">
      <c r="A158" s="4" t="str">
        <f>"3691"</f>
        <v>3691</v>
      </c>
      <c r="B158" s="4" t="s">
        <v>4724</v>
      </c>
      <c r="C158" t="s">
        <v>4725</v>
      </c>
      <c r="D158" t="s">
        <v>4726</v>
      </c>
      <c r="E158" t="str">
        <f>"683 05"</f>
        <v>683 05</v>
      </c>
      <c r="F158" t="s">
        <v>4727</v>
      </c>
      <c r="G158" t="s">
        <v>675</v>
      </c>
      <c r="H158" t="s">
        <v>120</v>
      </c>
      <c r="I158" t="s">
        <v>125</v>
      </c>
    </row>
    <row r="159" spans="1:9" x14ac:dyDescent="0.25">
      <c r="A159" s="4" t="str">
        <f>"3733"</f>
        <v>3733</v>
      </c>
      <c r="B159" s="4" t="s">
        <v>4728</v>
      </c>
      <c r="C159" t="s">
        <v>4729</v>
      </c>
      <c r="D159" t="s">
        <v>4730</v>
      </c>
      <c r="E159" t="str">
        <f>"683 33"</f>
        <v>683 33</v>
      </c>
      <c r="F159" t="s">
        <v>4731</v>
      </c>
      <c r="G159" t="s">
        <v>675</v>
      </c>
      <c r="H159" t="s">
        <v>120</v>
      </c>
      <c r="I159" t="s">
        <v>125</v>
      </c>
    </row>
    <row r="160" spans="1:9" x14ac:dyDescent="0.25">
      <c r="A160" s="4" t="str">
        <f>"3758"</f>
        <v>3758</v>
      </c>
      <c r="B160" s="4" t="s">
        <v>4732</v>
      </c>
      <c r="C160" t="s">
        <v>4733</v>
      </c>
      <c r="D160" t="s">
        <v>4734</v>
      </c>
      <c r="E160" t="str">
        <f>"683 35"</f>
        <v>683 35</v>
      </c>
      <c r="F160" t="s">
        <v>4735</v>
      </c>
      <c r="G160" t="s">
        <v>675</v>
      </c>
      <c r="H160" t="s">
        <v>120</v>
      </c>
      <c r="I160" t="s">
        <v>125</v>
      </c>
    </row>
    <row r="161" spans="1:9" x14ac:dyDescent="0.25">
      <c r="A161" s="4" t="str">
        <f>"3851"</f>
        <v>3851</v>
      </c>
      <c r="B161" s="4" t="s">
        <v>4736</v>
      </c>
      <c r="C161" t="s">
        <v>4737</v>
      </c>
      <c r="D161" t="s">
        <v>4738</v>
      </c>
      <c r="E161" t="str">
        <f>"683 21"</f>
        <v>683 21</v>
      </c>
      <c r="F161" t="s">
        <v>4739</v>
      </c>
      <c r="G161" t="s">
        <v>675</v>
      </c>
      <c r="H161" t="s">
        <v>120</v>
      </c>
      <c r="I161" t="s">
        <v>125</v>
      </c>
    </row>
    <row r="162" spans="1:9" x14ac:dyDescent="0.25">
      <c r="A162" s="4" t="str">
        <f>"3865"</f>
        <v>3865</v>
      </c>
      <c r="B162" s="4" t="s">
        <v>4740</v>
      </c>
      <c r="C162" t="s">
        <v>4741</v>
      </c>
      <c r="D162" t="s">
        <v>4742</v>
      </c>
      <c r="E162" t="str">
        <f>"684 01"</f>
        <v>684 01</v>
      </c>
      <c r="F162" t="s">
        <v>4743</v>
      </c>
      <c r="G162" t="s">
        <v>675</v>
      </c>
      <c r="H162" t="s">
        <v>120</v>
      </c>
      <c r="I162" t="s">
        <v>125</v>
      </c>
    </row>
    <row r="163" spans="1:9" x14ac:dyDescent="0.25">
      <c r="A163" s="4" t="str">
        <f>"3950"</f>
        <v>3950</v>
      </c>
      <c r="B163" s="4" t="s">
        <v>4744</v>
      </c>
      <c r="C163" t="s">
        <v>4745</v>
      </c>
      <c r="D163" t="s">
        <v>4746</v>
      </c>
      <c r="E163" t="str">
        <f>"683 54"</f>
        <v>683 54</v>
      </c>
      <c r="F163" t="s">
        <v>4747</v>
      </c>
      <c r="G163" t="s">
        <v>675</v>
      </c>
      <c r="H163" t="s">
        <v>120</v>
      </c>
      <c r="I163" t="s">
        <v>125</v>
      </c>
    </row>
    <row r="164" spans="1:9" x14ac:dyDescent="0.25">
      <c r="A164" s="4" t="str">
        <f>"3953"</f>
        <v>3953</v>
      </c>
      <c r="B164" s="4" t="s">
        <v>4748</v>
      </c>
      <c r="C164" t="s">
        <v>4749</v>
      </c>
      <c r="D164" t="s">
        <v>4750</v>
      </c>
      <c r="E164" t="str">
        <f>"683 04"</f>
        <v>683 04</v>
      </c>
      <c r="F164" t="s">
        <v>4751</v>
      </c>
      <c r="G164" t="s">
        <v>675</v>
      </c>
      <c r="H164" t="s">
        <v>120</v>
      </c>
      <c r="I164" t="s">
        <v>125</v>
      </c>
    </row>
    <row r="165" spans="1:9" x14ac:dyDescent="0.25">
      <c r="A165" s="4" t="str">
        <f>"4000"</f>
        <v>4000</v>
      </c>
      <c r="B165" s="4" t="s">
        <v>4752</v>
      </c>
      <c r="C165" t="s">
        <v>4753</v>
      </c>
      <c r="D165" t="s">
        <v>4754</v>
      </c>
      <c r="E165" t="str">
        <f>"683 41"</f>
        <v>683 41</v>
      </c>
      <c r="F165" t="s">
        <v>4755</v>
      </c>
      <c r="G165" t="s">
        <v>675</v>
      </c>
      <c r="H165" t="s">
        <v>120</v>
      </c>
      <c r="I165" t="s">
        <v>125</v>
      </c>
    </row>
    <row r="166" spans="1:9" x14ac:dyDescent="0.25">
      <c r="A166" s="4" t="str">
        <f>"4088"</f>
        <v>4088</v>
      </c>
      <c r="B166" s="4" t="s">
        <v>4756</v>
      </c>
      <c r="C166" t="s">
        <v>4757</v>
      </c>
      <c r="D166" t="s">
        <v>4758</v>
      </c>
      <c r="E166" t="str">
        <f>"682 01"</f>
        <v>682 01</v>
      </c>
      <c r="F166" t="s">
        <v>4759</v>
      </c>
      <c r="G166" t="s">
        <v>675</v>
      </c>
      <c r="H166" t="s">
        <v>120</v>
      </c>
      <c r="I166" t="s">
        <v>125</v>
      </c>
    </row>
    <row r="167" spans="1:9" x14ac:dyDescent="0.25">
      <c r="A167" s="4" t="str">
        <f>"4093"</f>
        <v>4093</v>
      </c>
      <c r="B167" s="4" t="s">
        <v>4760</v>
      </c>
      <c r="C167" t="s">
        <v>4761</v>
      </c>
      <c r="D167" t="s">
        <v>4762</v>
      </c>
      <c r="E167" t="str">
        <f>"683 04"</f>
        <v>683 04</v>
      </c>
      <c r="F167" t="s">
        <v>4763</v>
      </c>
      <c r="G167" t="s">
        <v>675</v>
      </c>
      <c r="H167" t="s">
        <v>120</v>
      </c>
      <c r="I167" t="s">
        <v>125</v>
      </c>
    </row>
    <row r="168" spans="1:9" x14ac:dyDescent="0.25">
      <c r="A168" s="4" t="str">
        <f>"4100"</f>
        <v>4100</v>
      </c>
      <c r="B168" s="4" t="s">
        <v>4764</v>
      </c>
      <c r="C168" t="s">
        <v>4765</v>
      </c>
      <c r="D168" t="s">
        <v>4766</v>
      </c>
      <c r="E168" t="str">
        <f>"683 03"</f>
        <v>683 03</v>
      </c>
      <c r="F168" t="s">
        <v>4767</v>
      </c>
      <c r="G168" t="s">
        <v>675</v>
      </c>
      <c r="H168" t="s">
        <v>120</v>
      </c>
      <c r="I168" t="s">
        <v>125</v>
      </c>
    </row>
    <row r="169" spans="1:9" x14ac:dyDescent="0.25">
      <c r="A169" s="4" t="str">
        <f>"4121"</f>
        <v>4121</v>
      </c>
      <c r="B169" s="4" t="s">
        <v>4768</v>
      </c>
      <c r="C169" t="s">
        <v>4769</v>
      </c>
      <c r="D169" t="s">
        <v>4770</v>
      </c>
      <c r="E169" t="str">
        <f>"683 52"</f>
        <v>683 52</v>
      </c>
      <c r="F169" t="s">
        <v>4771</v>
      </c>
      <c r="G169" t="s">
        <v>675</v>
      </c>
      <c r="H169" t="s">
        <v>120</v>
      </c>
      <c r="I169" t="s">
        <v>125</v>
      </c>
    </row>
    <row r="170" spans="1:9" x14ac:dyDescent="0.25">
      <c r="A170" s="4" t="str">
        <f>"4124"</f>
        <v>4124</v>
      </c>
      <c r="B170" s="4" t="s">
        <v>4772</v>
      </c>
      <c r="C170" t="s">
        <v>4773</v>
      </c>
      <c r="D170" t="s">
        <v>4774</v>
      </c>
      <c r="E170" t="str">
        <f>"683 54"</f>
        <v>683 54</v>
      </c>
      <c r="F170" t="s">
        <v>4775</v>
      </c>
      <c r="G170" t="s">
        <v>675</v>
      </c>
      <c r="H170" t="s">
        <v>120</v>
      </c>
      <c r="I170" t="s">
        <v>125</v>
      </c>
    </row>
    <row r="171" spans="1:9" x14ac:dyDescent="0.25">
      <c r="A171" s="4" t="str">
        <f>"4181"</f>
        <v>4181</v>
      </c>
      <c r="B171" s="4" t="s">
        <v>4776</v>
      </c>
      <c r="C171" t="s">
        <v>4777</v>
      </c>
      <c r="D171" t="s">
        <v>4778</v>
      </c>
      <c r="E171" t="str">
        <f>"683 01"</f>
        <v>683 01</v>
      </c>
      <c r="F171" t="s">
        <v>4779</v>
      </c>
      <c r="G171" t="s">
        <v>675</v>
      </c>
      <c r="H171" t="s">
        <v>120</v>
      </c>
      <c r="I171" t="s">
        <v>125</v>
      </c>
    </row>
    <row r="172" spans="1:9" x14ac:dyDescent="0.25">
      <c r="A172" s="4" t="str">
        <f>"4189"</f>
        <v>4189</v>
      </c>
      <c r="B172" s="4" t="s">
        <v>4780</v>
      </c>
      <c r="C172" t="s">
        <v>4781</v>
      </c>
      <c r="D172" t="s">
        <v>4782</v>
      </c>
      <c r="E172" t="str">
        <f>"683 04"</f>
        <v>683 04</v>
      </c>
      <c r="F172" t="s">
        <v>4783</v>
      </c>
      <c r="G172" t="s">
        <v>675</v>
      </c>
      <c r="H172" t="s">
        <v>120</v>
      </c>
      <c r="I172" t="s">
        <v>125</v>
      </c>
    </row>
    <row r="173" spans="1:9" x14ac:dyDescent="0.25">
      <c r="A173" s="4" t="str">
        <f>"4208"</f>
        <v>4208</v>
      </c>
      <c r="B173" s="4" t="s">
        <v>4784</v>
      </c>
      <c r="C173" t="s">
        <v>4785</v>
      </c>
      <c r="D173" t="s">
        <v>4786</v>
      </c>
      <c r="E173" t="str">
        <f>"684 01"</f>
        <v>684 01</v>
      </c>
      <c r="F173" t="s">
        <v>4787</v>
      </c>
      <c r="G173" t="s">
        <v>675</v>
      </c>
      <c r="H173" t="s">
        <v>120</v>
      </c>
      <c r="I173" t="s">
        <v>125</v>
      </c>
    </row>
    <row r="174" spans="1:9" x14ac:dyDescent="0.25">
      <c r="A174" s="4" t="str">
        <f>"4286"</f>
        <v>4286</v>
      </c>
      <c r="B174" s="4" t="s">
        <v>4788</v>
      </c>
      <c r="C174" t="s">
        <v>4789</v>
      </c>
      <c r="D174" t="s">
        <v>4790</v>
      </c>
      <c r="E174" t="str">
        <f>"683 01"</f>
        <v>683 01</v>
      </c>
      <c r="F174" t="s">
        <v>4791</v>
      </c>
      <c r="G174" t="s">
        <v>675</v>
      </c>
      <c r="H174" t="s">
        <v>120</v>
      </c>
      <c r="I174" t="s">
        <v>125</v>
      </c>
    </row>
    <row r="175" spans="1:9" x14ac:dyDescent="0.25">
      <c r="A175" s="4" t="str">
        <f>"4302"</f>
        <v>4302</v>
      </c>
      <c r="B175" s="4" t="s">
        <v>4792</v>
      </c>
      <c r="C175" t="s">
        <v>4793</v>
      </c>
      <c r="D175" t="s">
        <v>4794</v>
      </c>
      <c r="E175" t="str">
        <f>"683 04"</f>
        <v>683 04</v>
      </c>
      <c r="F175" t="s">
        <v>4795</v>
      </c>
      <c r="G175" t="s">
        <v>675</v>
      </c>
      <c r="H175" t="s">
        <v>120</v>
      </c>
      <c r="I175" t="s">
        <v>125</v>
      </c>
    </row>
    <row r="176" spans="1:9" x14ac:dyDescent="0.25">
      <c r="A176" s="4" t="str">
        <f>"4305"</f>
        <v>4305</v>
      </c>
      <c r="B176" s="4" t="s">
        <v>4796</v>
      </c>
      <c r="C176" t="s">
        <v>1609</v>
      </c>
      <c r="D176" t="s">
        <v>4797</v>
      </c>
      <c r="E176" t="str">
        <f>"683 33"</f>
        <v>683 33</v>
      </c>
      <c r="F176" t="s">
        <v>1611</v>
      </c>
      <c r="G176" t="s">
        <v>675</v>
      </c>
      <c r="H176" t="s">
        <v>120</v>
      </c>
      <c r="I176" t="s">
        <v>125</v>
      </c>
    </row>
    <row r="177" spans="1:9" x14ac:dyDescent="0.25">
      <c r="A177" s="4" t="str">
        <f>"4387"</f>
        <v>4387</v>
      </c>
      <c r="B177" s="4" t="s">
        <v>4798</v>
      </c>
      <c r="C177" t="s">
        <v>4799</v>
      </c>
      <c r="D177" t="s">
        <v>4800</v>
      </c>
      <c r="E177" t="str">
        <f>"682 01"</f>
        <v>682 01</v>
      </c>
      <c r="F177" t="s">
        <v>4801</v>
      </c>
      <c r="G177" t="s">
        <v>675</v>
      </c>
      <c r="H177" t="s">
        <v>120</v>
      </c>
      <c r="I177" t="s">
        <v>125</v>
      </c>
    </row>
    <row r="178" spans="1:9" x14ac:dyDescent="0.25">
      <c r="A178" s="4" t="str">
        <f>"4398"</f>
        <v>4398</v>
      </c>
      <c r="B178" s="4" t="s">
        <v>4802</v>
      </c>
      <c r="C178" t="s">
        <v>4803</v>
      </c>
      <c r="D178" t="s">
        <v>4804</v>
      </c>
      <c r="E178" t="str">
        <f>"682 01"</f>
        <v>682 01</v>
      </c>
      <c r="F178" t="s">
        <v>4805</v>
      </c>
      <c r="G178" t="s">
        <v>675</v>
      </c>
      <c r="H178" t="s">
        <v>120</v>
      </c>
      <c r="I178" t="s">
        <v>125</v>
      </c>
    </row>
    <row r="179" spans="1:9" x14ac:dyDescent="0.25">
      <c r="A179" s="4" t="str">
        <f>"4399"</f>
        <v>4399</v>
      </c>
      <c r="B179" s="4" t="s">
        <v>4806</v>
      </c>
      <c r="C179" t="s">
        <v>4807</v>
      </c>
      <c r="D179" t="s">
        <v>4808</v>
      </c>
      <c r="E179" t="str">
        <f>"682 01"</f>
        <v>682 01</v>
      </c>
      <c r="F179" t="s">
        <v>4809</v>
      </c>
      <c r="G179" t="s">
        <v>675</v>
      </c>
      <c r="H179" t="s">
        <v>120</v>
      </c>
      <c r="I179" t="s">
        <v>125</v>
      </c>
    </row>
    <row r="180" spans="1:9" x14ac:dyDescent="0.25">
      <c r="A180" s="4" t="str">
        <f>"4404"</f>
        <v>4404</v>
      </c>
      <c r="B180" s="4" t="s">
        <v>4810</v>
      </c>
      <c r="C180" t="s">
        <v>4811</v>
      </c>
      <c r="D180" t="s">
        <v>4812</v>
      </c>
      <c r="E180" t="str">
        <f>"683 33"</f>
        <v>683 33</v>
      </c>
      <c r="F180" t="s">
        <v>4813</v>
      </c>
      <c r="G180" t="s">
        <v>675</v>
      </c>
      <c r="H180" t="s">
        <v>120</v>
      </c>
      <c r="I180" t="s">
        <v>125</v>
      </c>
    </row>
    <row r="181" spans="1:9" x14ac:dyDescent="0.25">
      <c r="A181" s="4" t="str">
        <f>"4418"</f>
        <v>4418</v>
      </c>
      <c r="B181" s="4" t="s">
        <v>4814</v>
      </c>
      <c r="C181" t="s">
        <v>4815</v>
      </c>
      <c r="D181" t="s">
        <v>4816</v>
      </c>
      <c r="E181" t="str">
        <f>"683 01"</f>
        <v>683 01</v>
      </c>
      <c r="F181" t="s">
        <v>4206</v>
      </c>
      <c r="G181" t="s">
        <v>675</v>
      </c>
      <c r="H181" t="s">
        <v>120</v>
      </c>
      <c r="I181" t="s">
        <v>125</v>
      </c>
    </row>
    <row r="182" spans="1:9" x14ac:dyDescent="0.25">
      <c r="A182" s="4" t="str">
        <f>"4466"</f>
        <v>4466</v>
      </c>
      <c r="B182" s="4" t="s">
        <v>4817</v>
      </c>
      <c r="C182" t="s">
        <v>4818</v>
      </c>
      <c r="D182" t="s">
        <v>4819</v>
      </c>
      <c r="E182" t="str">
        <f>"683 01"</f>
        <v>683 01</v>
      </c>
      <c r="F182" t="s">
        <v>4820</v>
      </c>
      <c r="G182" t="s">
        <v>675</v>
      </c>
      <c r="H182" t="s">
        <v>120</v>
      </c>
      <c r="I182" t="s">
        <v>125</v>
      </c>
    </row>
    <row r="183" spans="1:9" x14ac:dyDescent="0.25">
      <c r="A183" s="4" t="str">
        <f>"4467"</f>
        <v>4467</v>
      </c>
      <c r="B183" s="4" t="s">
        <v>4821</v>
      </c>
      <c r="C183" t="s">
        <v>4822</v>
      </c>
      <c r="D183" t="s">
        <v>4823</v>
      </c>
      <c r="E183" t="str">
        <f>"685 01"</f>
        <v>685 01</v>
      </c>
      <c r="F183" t="s">
        <v>4824</v>
      </c>
      <c r="G183" t="s">
        <v>675</v>
      </c>
      <c r="H183" t="s">
        <v>120</v>
      </c>
      <c r="I183" t="s">
        <v>125</v>
      </c>
    </row>
    <row r="184" spans="1:9" x14ac:dyDescent="0.25">
      <c r="A184" s="4" t="str">
        <f>"4576"</f>
        <v>4576</v>
      </c>
      <c r="B184" s="4" t="s">
        <v>4825</v>
      </c>
      <c r="C184" t="s">
        <v>4826</v>
      </c>
      <c r="D184" t="s">
        <v>4827</v>
      </c>
      <c r="E184" t="str">
        <f>"683 33"</f>
        <v>683 33</v>
      </c>
      <c r="F184" t="s">
        <v>4828</v>
      </c>
      <c r="G184" t="s">
        <v>675</v>
      </c>
      <c r="H184" t="s">
        <v>120</v>
      </c>
      <c r="I184" t="s">
        <v>125</v>
      </c>
    </row>
    <row r="185" spans="1:9" x14ac:dyDescent="0.25">
      <c r="A185" s="4" t="str">
        <f>"4595"</f>
        <v>4595</v>
      </c>
      <c r="B185" s="4" t="s">
        <v>4829</v>
      </c>
      <c r="C185" t="s">
        <v>4830</v>
      </c>
      <c r="D185" t="s">
        <v>4831</v>
      </c>
      <c r="E185" t="str">
        <f>"682 01"</f>
        <v>682 01</v>
      </c>
      <c r="F185" t="s">
        <v>4832</v>
      </c>
      <c r="G185" t="s">
        <v>675</v>
      </c>
      <c r="H185" t="s">
        <v>120</v>
      </c>
      <c r="I185" t="s">
        <v>125</v>
      </c>
    </row>
    <row r="186" spans="1:9" x14ac:dyDescent="0.25">
      <c r="A186" s="4" t="str">
        <f>"4619"</f>
        <v>4619</v>
      </c>
      <c r="B186" s="4" t="s">
        <v>4833</v>
      </c>
      <c r="C186" t="s">
        <v>4834</v>
      </c>
      <c r="D186" t="s">
        <v>4835</v>
      </c>
      <c r="E186" t="str">
        <f>"683 33"</f>
        <v>683 33</v>
      </c>
      <c r="F186" t="s">
        <v>4836</v>
      </c>
      <c r="G186" t="s">
        <v>675</v>
      </c>
      <c r="H186" t="s">
        <v>120</v>
      </c>
      <c r="I186" t="s">
        <v>125</v>
      </c>
    </row>
    <row r="187" spans="1:9" x14ac:dyDescent="0.25">
      <c r="A187" s="4" t="str">
        <f>"4620"</f>
        <v>4620</v>
      </c>
      <c r="B187" s="4" t="s">
        <v>4837</v>
      </c>
      <c r="C187" t="s">
        <v>4838</v>
      </c>
      <c r="D187" t="s">
        <v>4839</v>
      </c>
      <c r="E187" t="str">
        <f>"683 36"</f>
        <v>683 36</v>
      </c>
      <c r="F187" t="s">
        <v>4840</v>
      </c>
      <c r="G187" t="s">
        <v>675</v>
      </c>
      <c r="H187" t="s">
        <v>120</v>
      </c>
      <c r="I187" t="s">
        <v>125</v>
      </c>
    </row>
    <row r="188" spans="1:9" x14ac:dyDescent="0.25">
      <c r="A188" s="4" t="str">
        <f>"4714"</f>
        <v>4714</v>
      </c>
      <c r="B188" s="4" t="s">
        <v>4841</v>
      </c>
      <c r="C188" t="s">
        <v>4842</v>
      </c>
      <c r="D188" t="s">
        <v>4843</v>
      </c>
      <c r="E188" t="str">
        <f>"685 01"</f>
        <v>685 01</v>
      </c>
      <c r="F188" t="s">
        <v>4844</v>
      </c>
      <c r="G188" t="s">
        <v>675</v>
      </c>
      <c r="H188" t="s">
        <v>120</v>
      </c>
      <c r="I188" t="s">
        <v>125</v>
      </c>
    </row>
    <row r="189" spans="1:9" x14ac:dyDescent="0.25">
      <c r="A189" s="4" t="str">
        <f>"4752"</f>
        <v>4752</v>
      </c>
      <c r="B189" s="4" t="s">
        <v>4845</v>
      </c>
      <c r="C189" t="s">
        <v>4846</v>
      </c>
      <c r="D189" t="s">
        <v>4847</v>
      </c>
      <c r="E189" t="str">
        <f>"683 01"</f>
        <v>683 01</v>
      </c>
      <c r="F189" t="s">
        <v>4848</v>
      </c>
      <c r="G189" t="s">
        <v>675</v>
      </c>
      <c r="H189" t="s">
        <v>120</v>
      </c>
      <c r="I189" t="s">
        <v>125</v>
      </c>
    </row>
    <row r="190" spans="1:9" x14ac:dyDescent="0.25">
      <c r="A190" s="4" t="str">
        <f>"4802"</f>
        <v>4802</v>
      </c>
      <c r="B190" s="4" t="s">
        <v>4849</v>
      </c>
      <c r="C190" t="s">
        <v>4850</v>
      </c>
      <c r="D190" t="s">
        <v>4851</v>
      </c>
      <c r="E190" t="str">
        <f>"684 01"</f>
        <v>684 01</v>
      </c>
      <c r="F190" t="s">
        <v>4852</v>
      </c>
      <c r="G190" t="s">
        <v>675</v>
      </c>
      <c r="H190" t="s">
        <v>120</v>
      </c>
      <c r="I190" t="s">
        <v>125</v>
      </c>
    </row>
    <row r="191" spans="1:9" x14ac:dyDescent="0.25">
      <c r="A191" s="4" t="str">
        <f>"4886"</f>
        <v>4886</v>
      </c>
      <c r="B191" s="4" t="s">
        <v>4853</v>
      </c>
      <c r="C191" t="s">
        <v>4854</v>
      </c>
      <c r="D191" t="s">
        <v>4855</v>
      </c>
      <c r="E191" t="str">
        <f>"683 23"</f>
        <v>683 23</v>
      </c>
      <c r="F191" t="s">
        <v>4856</v>
      </c>
      <c r="G191" t="s">
        <v>675</v>
      </c>
      <c r="H191" t="s">
        <v>120</v>
      </c>
      <c r="I191" t="s">
        <v>125</v>
      </c>
    </row>
    <row r="192" spans="1:9" x14ac:dyDescent="0.25">
      <c r="A192" s="4" t="str">
        <f>"5356"</f>
        <v>5356</v>
      </c>
      <c r="B192" s="4" t="s">
        <v>4857</v>
      </c>
      <c r="C192" t="s">
        <v>4858</v>
      </c>
      <c r="D192" t="s">
        <v>4859</v>
      </c>
      <c r="E192" t="str">
        <f>"683 21"</f>
        <v>683 21</v>
      </c>
      <c r="F192" t="s">
        <v>4860</v>
      </c>
      <c r="G192" t="s">
        <v>675</v>
      </c>
      <c r="H192" t="s">
        <v>120</v>
      </c>
      <c r="I192" t="s">
        <v>125</v>
      </c>
    </row>
    <row r="193" spans="1:9" x14ac:dyDescent="0.25">
      <c r="A193" s="4" t="str">
        <f>"5832"</f>
        <v>5832</v>
      </c>
      <c r="B193" s="4" t="s">
        <v>4861</v>
      </c>
      <c r="C193" t="s">
        <v>4862</v>
      </c>
      <c r="D193" t="s">
        <v>4863</v>
      </c>
      <c r="E193" t="str">
        <f>"683 41"</f>
        <v>683 41</v>
      </c>
      <c r="F193" t="s">
        <v>4864</v>
      </c>
      <c r="G193" t="s">
        <v>675</v>
      </c>
      <c r="H193" t="s">
        <v>120</v>
      </c>
      <c r="I193" t="s">
        <v>125</v>
      </c>
    </row>
    <row r="194" spans="1:9" x14ac:dyDescent="0.25">
      <c r="A194" s="4" t="str">
        <f>"5865"</f>
        <v>5865</v>
      </c>
      <c r="B194" s="4" t="s">
        <v>4865</v>
      </c>
      <c r="C194" t="s">
        <v>4866</v>
      </c>
      <c r="D194" t="s">
        <v>4867</v>
      </c>
      <c r="E194" t="str">
        <f>"685 01"</f>
        <v>685 01</v>
      </c>
      <c r="F194" t="s">
        <v>4868</v>
      </c>
      <c r="G194" t="s">
        <v>675</v>
      </c>
      <c r="H194" t="s">
        <v>120</v>
      </c>
      <c r="I194" t="s">
        <v>125</v>
      </c>
    </row>
    <row r="195" spans="1:9" x14ac:dyDescent="0.25">
      <c r="A195" s="4" t="str">
        <f>"5877"</f>
        <v>5877</v>
      </c>
      <c r="B195" s="4" t="s">
        <v>4869</v>
      </c>
      <c r="C195" t="s">
        <v>4870</v>
      </c>
      <c r="D195" t="s">
        <v>4871</v>
      </c>
      <c r="E195" t="str">
        <f>"683 41"</f>
        <v>683 41</v>
      </c>
      <c r="F195" t="s">
        <v>4872</v>
      </c>
      <c r="G195" t="s">
        <v>675</v>
      </c>
      <c r="H195" t="s">
        <v>120</v>
      </c>
      <c r="I195" t="s">
        <v>125</v>
      </c>
    </row>
    <row r="196" spans="1:9" x14ac:dyDescent="0.25">
      <c r="A196" s="4" t="str">
        <f>"5880"</f>
        <v>5880</v>
      </c>
      <c r="B196" s="4" t="s">
        <v>4873</v>
      </c>
      <c r="C196" t="s">
        <v>4874</v>
      </c>
      <c r="D196" t="s">
        <v>4875</v>
      </c>
      <c r="E196" t="str">
        <f>"683 33"</f>
        <v>683 33</v>
      </c>
      <c r="F196" t="s">
        <v>4876</v>
      </c>
      <c r="G196" t="s">
        <v>675</v>
      </c>
      <c r="H196" t="s">
        <v>120</v>
      </c>
      <c r="I196" t="s">
        <v>125</v>
      </c>
    </row>
    <row r="197" spans="1:9" x14ac:dyDescent="0.25">
      <c r="A197" s="4" t="str">
        <f>"5882"</f>
        <v>5882</v>
      </c>
      <c r="B197" s="4" t="s">
        <v>4877</v>
      </c>
      <c r="C197" t="s">
        <v>4878</v>
      </c>
      <c r="D197" t="s">
        <v>4879</v>
      </c>
      <c r="E197" t="str">
        <f>"683 08"</f>
        <v>683 08</v>
      </c>
      <c r="F197" t="s">
        <v>4880</v>
      </c>
      <c r="G197" t="s">
        <v>675</v>
      </c>
      <c r="H197" t="s">
        <v>120</v>
      </c>
      <c r="I197" t="s">
        <v>125</v>
      </c>
    </row>
    <row r="198" spans="1:9" x14ac:dyDescent="0.25">
      <c r="A198" s="4" t="str">
        <f>"5909"</f>
        <v>5909</v>
      </c>
      <c r="B198" s="4" t="s">
        <v>4881</v>
      </c>
      <c r="C198" t="s">
        <v>4882</v>
      </c>
      <c r="D198" t="s">
        <v>4883</v>
      </c>
      <c r="E198" t="str">
        <f>"682 01"</f>
        <v>682 01</v>
      </c>
      <c r="F198" t="s">
        <v>4884</v>
      </c>
      <c r="G198" t="s">
        <v>675</v>
      </c>
      <c r="H198" t="s">
        <v>120</v>
      </c>
      <c r="I198" t="s">
        <v>125</v>
      </c>
    </row>
    <row r="199" spans="1:9" x14ac:dyDescent="0.25">
      <c r="A199" s="4" t="str">
        <f>"5922"</f>
        <v>5922</v>
      </c>
      <c r="B199" s="4" t="s">
        <v>4885</v>
      </c>
      <c r="C199" t="s">
        <v>4886</v>
      </c>
      <c r="D199" t="s">
        <v>4887</v>
      </c>
      <c r="E199" t="str">
        <f>"685 01"</f>
        <v>685 01</v>
      </c>
      <c r="F199" t="s">
        <v>4888</v>
      </c>
      <c r="G199" t="s">
        <v>675</v>
      </c>
      <c r="H199" t="s">
        <v>120</v>
      </c>
      <c r="I199" t="s">
        <v>125</v>
      </c>
    </row>
    <row r="200" spans="1:9" x14ac:dyDescent="0.25">
      <c r="A200" s="4" t="str">
        <f>"6126"</f>
        <v>6126</v>
      </c>
      <c r="B200" s="4" t="s">
        <v>4889</v>
      </c>
      <c r="C200" t="s">
        <v>4890</v>
      </c>
      <c r="D200" t="s">
        <v>4891</v>
      </c>
      <c r="E200" t="str">
        <f>"683 33"</f>
        <v>683 33</v>
      </c>
      <c r="F200" t="s">
        <v>4892</v>
      </c>
      <c r="G200" t="s">
        <v>675</v>
      </c>
      <c r="H200" t="s">
        <v>120</v>
      </c>
      <c r="I200" t="s">
        <v>125</v>
      </c>
    </row>
    <row r="201" spans="1:9" x14ac:dyDescent="0.25">
      <c r="A201" s="4" t="str">
        <f>"4432"</f>
        <v>4432</v>
      </c>
      <c r="B201" s="4" t="s">
        <v>4893</v>
      </c>
      <c r="C201" t="s">
        <v>4894</v>
      </c>
      <c r="D201" t="s">
        <v>4895</v>
      </c>
      <c r="E201" t="str">
        <f>"684 01"</f>
        <v>684 01</v>
      </c>
      <c r="F201" t="s">
        <v>4896</v>
      </c>
      <c r="G201" t="s">
        <v>675</v>
      </c>
      <c r="H201" t="s">
        <v>120</v>
      </c>
      <c r="I201" t="s">
        <v>125</v>
      </c>
    </row>
    <row r="202" spans="1:9" x14ac:dyDescent="0.25">
      <c r="A202" s="4" t="str">
        <f>"6458"</f>
        <v>6458</v>
      </c>
      <c r="B202" s="4" t="s">
        <v>4897</v>
      </c>
      <c r="C202" t="s">
        <v>4898</v>
      </c>
      <c r="D202" t="s">
        <v>4899</v>
      </c>
      <c r="E202" t="str">
        <f>"683 08"</f>
        <v>683 08</v>
      </c>
      <c r="F202" t="s">
        <v>2969</v>
      </c>
      <c r="G202" t="s">
        <v>675</v>
      </c>
      <c r="H202" t="s">
        <v>120</v>
      </c>
      <c r="I202" t="s">
        <v>125</v>
      </c>
    </row>
    <row r="203" spans="1:9" x14ac:dyDescent="0.25">
      <c r="A203" s="4" t="str">
        <f>"1651"</f>
        <v>1651</v>
      </c>
      <c r="B203" s="4" t="s">
        <v>5239</v>
      </c>
      <c r="C203" t="s">
        <v>5240</v>
      </c>
      <c r="D203" t="s">
        <v>5241</v>
      </c>
      <c r="E203" t="str">
        <f>"671 07"</f>
        <v>671 07</v>
      </c>
      <c r="F203" t="s">
        <v>5242</v>
      </c>
      <c r="G203" t="s">
        <v>675</v>
      </c>
      <c r="H203" t="s">
        <v>120</v>
      </c>
      <c r="I203" t="s">
        <v>125</v>
      </c>
    </row>
    <row r="204" spans="1:9" x14ac:dyDescent="0.25">
      <c r="A204" s="4" t="str">
        <f>"605"</f>
        <v>605</v>
      </c>
      <c r="B204" s="4" t="s">
        <v>1158</v>
      </c>
      <c r="C204" t="s">
        <v>1159</v>
      </c>
      <c r="D204" t="s">
        <v>1160</v>
      </c>
      <c r="E204" t="str">
        <f>"351 34"</f>
        <v>351 34</v>
      </c>
      <c r="F204" t="s">
        <v>1161</v>
      </c>
      <c r="G204" t="s">
        <v>1144</v>
      </c>
      <c r="H204" t="s">
        <v>120</v>
      </c>
      <c r="I204" t="s">
        <v>125</v>
      </c>
    </row>
    <row r="205" spans="1:9" x14ac:dyDescent="0.25">
      <c r="A205" s="4" t="str">
        <f>"1271"</f>
        <v>1271</v>
      </c>
      <c r="B205" s="4" t="s">
        <v>1716</v>
      </c>
      <c r="C205" t="s">
        <v>225</v>
      </c>
      <c r="D205" t="s">
        <v>1717</v>
      </c>
      <c r="E205" t="str">
        <f>"508 01"</f>
        <v>508 01</v>
      </c>
      <c r="F205" t="s">
        <v>1718</v>
      </c>
      <c r="G205" t="s">
        <v>1536</v>
      </c>
      <c r="H205" t="s">
        <v>202</v>
      </c>
      <c r="I205" t="s">
        <v>125</v>
      </c>
    </row>
    <row r="206" spans="1:9" x14ac:dyDescent="0.25">
      <c r="A206" s="4" t="str">
        <f>"3650"</f>
        <v>3650</v>
      </c>
      <c r="B206" s="4" t="s">
        <v>1723</v>
      </c>
      <c r="C206" t="s">
        <v>1724</v>
      </c>
      <c r="D206" t="s">
        <v>1725</v>
      </c>
      <c r="E206" t="str">
        <f>"507 44"</f>
        <v>507 44</v>
      </c>
      <c r="F206" t="s">
        <v>1726</v>
      </c>
      <c r="G206" t="s">
        <v>1536</v>
      </c>
      <c r="H206" t="s">
        <v>120</v>
      </c>
      <c r="I206" t="s">
        <v>125</v>
      </c>
    </row>
    <row r="207" spans="1:9" x14ac:dyDescent="0.25">
      <c r="A207" s="4" t="str">
        <f>"572"</f>
        <v>572</v>
      </c>
      <c r="B207" s="4" t="s">
        <v>1727</v>
      </c>
      <c r="C207" t="s">
        <v>1728</v>
      </c>
      <c r="D207" t="s">
        <v>1729</v>
      </c>
      <c r="E207" t="str">
        <f>"508 01"</f>
        <v>508 01</v>
      </c>
      <c r="F207" t="s">
        <v>1730</v>
      </c>
      <c r="G207" t="s">
        <v>1536</v>
      </c>
      <c r="H207" t="s">
        <v>120</v>
      </c>
      <c r="I207" t="s">
        <v>125</v>
      </c>
    </row>
    <row r="208" spans="1:9" x14ac:dyDescent="0.25">
      <c r="A208" s="4" t="str">
        <f>"2751"</f>
        <v>2751</v>
      </c>
      <c r="B208" s="4" t="s">
        <v>1731</v>
      </c>
      <c r="C208" t="s">
        <v>1732</v>
      </c>
      <c r="D208" t="s">
        <v>1733</v>
      </c>
      <c r="E208" t="str">
        <f>"508 01"</f>
        <v>508 01</v>
      </c>
      <c r="F208" t="s">
        <v>1734</v>
      </c>
      <c r="G208" t="s">
        <v>1536</v>
      </c>
      <c r="H208" t="s">
        <v>120</v>
      </c>
      <c r="I208" t="s">
        <v>125</v>
      </c>
    </row>
    <row r="209" spans="1:9" x14ac:dyDescent="0.25">
      <c r="A209" s="4" t="str">
        <f>"4690"</f>
        <v>4690</v>
      </c>
      <c r="B209" s="4" t="s">
        <v>1735</v>
      </c>
      <c r="C209" t="s">
        <v>1736</v>
      </c>
      <c r="D209" t="s">
        <v>1737</v>
      </c>
      <c r="E209" t="str">
        <f>"508 01"</f>
        <v>508 01</v>
      </c>
      <c r="F209" t="s">
        <v>1738</v>
      </c>
      <c r="G209" t="s">
        <v>1536</v>
      </c>
      <c r="H209" t="s">
        <v>120</v>
      </c>
      <c r="I209" t="s">
        <v>125</v>
      </c>
    </row>
    <row r="210" spans="1:9" x14ac:dyDescent="0.25">
      <c r="A210" s="4" t="str">
        <f>"1766"</f>
        <v>1766</v>
      </c>
      <c r="B210" s="4" t="s">
        <v>1739</v>
      </c>
      <c r="C210" t="s">
        <v>1740</v>
      </c>
      <c r="D210" t="s">
        <v>1741</v>
      </c>
      <c r="E210" t="str">
        <f>"508 01"</f>
        <v>508 01</v>
      </c>
      <c r="F210" t="s">
        <v>1742</v>
      </c>
      <c r="G210" t="s">
        <v>1536</v>
      </c>
      <c r="H210" t="s">
        <v>120</v>
      </c>
      <c r="I210" t="s">
        <v>125</v>
      </c>
    </row>
    <row r="211" spans="1:9" x14ac:dyDescent="0.25">
      <c r="A211" s="4" t="str">
        <f>"4591"</f>
        <v>4591</v>
      </c>
      <c r="B211" s="4" t="s">
        <v>1743</v>
      </c>
      <c r="C211" t="s">
        <v>1744</v>
      </c>
      <c r="D211" t="s">
        <v>1745</v>
      </c>
      <c r="E211" t="str">
        <f>"507 53"</f>
        <v>507 53</v>
      </c>
      <c r="F211" t="s">
        <v>1746</v>
      </c>
      <c r="G211" t="s">
        <v>1536</v>
      </c>
      <c r="H211" t="s">
        <v>120</v>
      </c>
      <c r="I211" t="s">
        <v>125</v>
      </c>
    </row>
    <row r="212" spans="1:9" x14ac:dyDescent="0.25">
      <c r="A212" s="4" t="str">
        <f>"5224"</f>
        <v>5224</v>
      </c>
      <c r="B212" s="4" t="s">
        <v>1747</v>
      </c>
      <c r="C212" t="s">
        <v>1748</v>
      </c>
      <c r="D212" t="s">
        <v>1749</v>
      </c>
      <c r="E212" t="str">
        <f>"506 01"</f>
        <v>506 01</v>
      </c>
      <c r="F212" t="s">
        <v>1750</v>
      </c>
      <c r="G212" t="s">
        <v>1536</v>
      </c>
      <c r="H212" t="s">
        <v>120</v>
      </c>
      <c r="I212" t="s">
        <v>125</v>
      </c>
    </row>
    <row r="213" spans="1:9" x14ac:dyDescent="0.25">
      <c r="A213" s="4" t="str">
        <f>"354"</f>
        <v>354</v>
      </c>
      <c r="B213" s="4" t="s">
        <v>1751</v>
      </c>
      <c r="C213" t="s">
        <v>1752</v>
      </c>
      <c r="D213" t="s">
        <v>1753</v>
      </c>
      <c r="E213" t="str">
        <f>"507 23"</f>
        <v>507 23</v>
      </c>
      <c r="F213" t="s">
        <v>750</v>
      </c>
      <c r="G213" t="s">
        <v>1536</v>
      </c>
      <c r="H213" t="s">
        <v>120</v>
      </c>
      <c r="I213" t="s">
        <v>125</v>
      </c>
    </row>
    <row r="214" spans="1:9" x14ac:dyDescent="0.25">
      <c r="A214" s="4" t="str">
        <f>"752"</f>
        <v>752</v>
      </c>
      <c r="B214" s="4" t="s">
        <v>1754</v>
      </c>
      <c r="C214" t="s">
        <v>1755</v>
      </c>
      <c r="D214" t="s">
        <v>1756</v>
      </c>
      <c r="E214" t="str">
        <f>"507 71"</f>
        <v>507 71</v>
      </c>
      <c r="F214" t="s">
        <v>1757</v>
      </c>
      <c r="G214" t="s">
        <v>1536</v>
      </c>
      <c r="H214" t="s">
        <v>120</v>
      </c>
      <c r="I214" t="s">
        <v>125</v>
      </c>
    </row>
    <row r="215" spans="1:9" x14ac:dyDescent="0.25">
      <c r="A215" s="4" t="str">
        <f>"4243"</f>
        <v>4243</v>
      </c>
      <c r="B215" s="4" t="s">
        <v>1758</v>
      </c>
      <c r="C215" t="s">
        <v>1759</v>
      </c>
      <c r="D215" t="s">
        <v>1760</v>
      </c>
      <c r="E215" t="str">
        <f>"506 01"</f>
        <v>506 01</v>
      </c>
      <c r="F215" t="s">
        <v>1761</v>
      </c>
      <c r="G215" t="s">
        <v>1536</v>
      </c>
      <c r="H215" t="s">
        <v>120</v>
      </c>
      <c r="I215" t="s">
        <v>125</v>
      </c>
    </row>
    <row r="216" spans="1:9" x14ac:dyDescent="0.25">
      <c r="A216" s="4" t="str">
        <f>"6569"</f>
        <v>6569</v>
      </c>
      <c r="B216" s="4" t="s">
        <v>1762</v>
      </c>
      <c r="C216" t="s">
        <v>1763</v>
      </c>
      <c r="D216" t="s">
        <v>1764</v>
      </c>
      <c r="E216" t="str">
        <f>"507 06"</f>
        <v>507 06</v>
      </c>
      <c r="F216" t="s">
        <v>1765</v>
      </c>
      <c r="G216" t="s">
        <v>1536</v>
      </c>
      <c r="H216" t="s">
        <v>120</v>
      </c>
      <c r="I216" t="s">
        <v>125</v>
      </c>
    </row>
    <row r="217" spans="1:9" x14ac:dyDescent="0.25">
      <c r="A217" s="4" t="str">
        <f>"5649"</f>
        <v>5649</v>
      </c>
      <c r="B217" s="4" t="s">
        <v>2879</v>
      </c>
      <c r="C217" t="s">
        <v>2880</v>
      </c>
      <c r="D217" t="s">
        <v>2881</v>
      </c>
      <c r="E217" t="str">
        <f>"547 01"</f>
        <v>547 01</v>
      </c>
      <c r="F217" t="s">
        <v>2882</v>
      </c>
      <c r="G217" t="s">
        <v>1536</v>
      </c>
      <c r="H217" t="s">
        <v>120</v>
      </c>
      <c r="I217" t="s">
        <v>125</v>
      </c>
    </row>
    <row r="218" spans="1:9" x14ac:dyDescent="0.25">
      <c r="A218" s="4" t="str">
        <f>"1231"</f>
        <v>1231</v>
      </c>
      <c r="B218" s="4" t="s">
        <v>2895</v>
      </c>
      <c r="C218" t="s">
        <v>2896</v>
      </c>
      <c r="D218" t="s">
        <v>2897</v>
      </c>
      <c r="E218" t="str">
        <f>"552 05"</f>
        <v>552 05</v>
      </c>
      <c r="F218" t="s">
        <v>2898</v>
      </c>
      <c r="G218" t="s">
        <v>1536</v>
      </c>
      <c r="H218" t="s">
        <v>120</v>
      </c>
      <c r="I218" t="s">
        <v>125</v>
      </c>
    </row>
    <row r="219" spans="1:9" x14ac:dyDescent="0.25">
      <c r="A219" s="4" t="str">
        <f>"2093"</f>
        <v>2093</v>
      </c>
      <c r="B219" s="4" t="s">
        <v>2911</v>
      </c>
      <c r="C219" t="s">
        <v>2912</v>
      </c>
      <c r="D219" t="s">
        <v>2913</v>
      </c>
      <c r="E219" t="str">
        <f>"552 04"</f>
        <v>552 04</v>
      </c>
      <c r="F219" t="s">
        <v>2914</v>
      </c>
      <c r="G219" t="s">
        <v>1536</v>
      </c>
      <c r="H219" t="s">
        <v>120</v>
      </c>
      <c r="I219" t="s">
        <v>125</v>
      </c>
    </row>
    <row r="220" spans="1:9" x14ac:dyDescent="0.25">
      <c r="A220" s="4" t="str">
        <f>"4090"</f>
        <v>4090</v>
      </c>
      <c r="B220" s="4" t="s">
        <v>2915</v>
      </c>
      <c r="C220" t="s">
        <v>2916</v>
      </c>
      <c r="D220" t="s">
        <v>2917</v>
      </c>
      <c r="E220" t="str">
        <f>"549 52"</f>
        <v>549 52</v>
      </c>
      <c r="F220" t="s">
        <v>2918</v>
      </c>
      <c r="G220" t="s">
        <v>1536</v>
      </c>
      <c r="H220" t="s">
        <v>120</v>
      </c>
      <c r="I220" t="s">
        <v>125</v>
      </c>
    </row>
    <row r="221" spans="1:9" x14ac:dyDescent="0.25">
      <c r="A221" s="4" t="str">
        <f>"646"</f>
        <v>646</v>
      </c>
      <c r="B221" s="4" t="s">
        <v>2919</v>
      </c>
      <c r="C221" t="s">
        <v>2920</v>
      </c>
      <c r="D221" t="s">
        <v>2921</v>
      </c>
      <c r="E221" t="str">
        <f>"550 01"</f>
        <v>550 01</v>
      </c>
      <c r="F221" t="s">
        <v>2922</v>
      </c>
      <c r="G221" t="s">
        <v>1536</v>
      </c>
      <c r="H221" t="s">
        <v>120</v>
      </c>
      <c r="I221" t="s">
        <v>125</v>
      </c>
    </row>
    <row r="222" spans="1:9" x14ac:dyDescent="0.25">
      <c r="A222" s="4" t="str">
        <f>"5547"</f>
        <v>5547</v>
      </c>
      <c r="B222" s="4" t="s">
        <v>2923</v>
      </c>
      <c r="C222" t="s">
        <v>2924</v>
      </c>
      <c r="D222" t="s">
        <v>2925</v>
      </c>
      <c r="E222" t="str">
        <f>"550 01"</f>
        <v>550 01</v>
      </c>
      <c r="F222" t="s">
        <v>2926</v>
      </c>
      <c r="G222" t="s">
        <v>1536</v>
      </c>
      <c r="H222" t="s">
        <v>120</v>
      </c>
      <c r="I222" t="s">
        <v>125</v>
      </c>
    </row>
    <row r="223" spans="1:9" x14ac:dyDescent="0.25">
      <c r="A223" s="4" t="str">
        <f>"5451"</f>
        <v>5451</v>
      </c>
      <c r="B223" s="4" t="s">
        <v>2927</v>
      </c>
      <c r="C223" t="s">
        <v>2928</v>
      </c>
      <c r="D223" t="s">
        <v>2929</v>
      </c>
      <c r="E223" t="str">
        <f>"549 21"</f>
        <v>549 21</v>
      </c>
      <c r="F223" t="s">
        <v>2930</v>
      </c>
      <c r="G223" t="s">
        <v>1536</v>
      </c>
      <c r="H223" t="s">
        <v>120</v>
      </c>
      <c r="I223" t="s">
        <v>125</v>
      </c>
    </row>
    <row r="224" spans="1:9" x14ac:dyDescent="0.25">
      <c r="A224" s="4" t="str">
        <f>"377"</f>
        <v>377</v>
      </c>
      <c r="B224" s="4" t="s">
        <v>2931</v>
      </c>
      <c r="C224" t="s">
        <v>2932</v>
      </c>
      <c r="D224" t="s">
        <v>2933</v>
      </c>
      <c r="E224" t="str">
        <f>"552 03"</f>
        <v>552 03</v>
      </c>
      <c r="F224" t="s">
        <v>2934</v>
      </c>
      <c r="G224" t="s">
        <v>1536</v>
      </c>
      <c r="H224" t="s">
        <v>120</v>
      </c>
      <c r="I224" t="s">
        <v>125</v>
      </c>
    </row>
    <row r="225" spans="1:9" x14ac:dyDescent="0.25">
      <c r="A225" s="4" t="str">
        <f>"3885"</f>
        <v>3885</v>
      </c>
      <c r="B225" s="4" t="s">
        <v>2935</v>
      </c>
      <c r="C225" t="s">
        <v>2936</v>
      </c>
      <c r="D225" t="s">
        <v>2937</v>
      </c>
      <c r="E225" t="str">
        <f>"549 11"</f>
        <v>549 11</v>
      </c>
      <c r="F225" t="s">
        <v>2938</v>
      </c>
      <c r="G225" t="s">
        <v>1536</v>
      </c>
      <c r="H225" t="s">
        <v>120</v>
      </c>
      <c r="I225" t="s">
        <v>125</v>
      </c>
    </row>
    <row r="226" spans="1:9" x14ac:dyDescent="0.25">
      <c r="A226" s="4" t="str">
        <f>"6268"</f>
        <v>6268</v>
      </c>
      <c r="B226" s="4" t="s">
        <v>2939</v>
      </c>
      <c r="C226" t="s">
        <v>2940</v>
      </c>
      <c r="D226" t="s">
        <v>2941</v>
      </c>
      <c r="E226" t="str">
        <f>"549 84"</f>
        <v>549 84</v>
      </c>
      <c r="F226" t="s">
        <v>2942</v>
      </c>
      <c r="G226" t="s">
        <v>1536</v>
      </c>
      <c r="H226" t="s">
        <v>120</v>
      </c>
      <c r="I226" t="s">
        <v>125</v>
      </c>
    </row>
    <row r="227" spans="1:9" x14ac:dyDescent="0.25">
      <c r="A227" s="4" t="str">
        <f>"5200"</f>
        <v>5200</v>
      </c>
      <c r="B227" s="4" t="s">
        <v>2943</v>
      </c>
      <c r="C227" t="s">
        <v>2944</v>
      </c>
      <c r="D227" t="s">
        <v>2945</v>
      </c>
      <c r="E227" t="str">
        <f>"549 83"</f>
        <v>549 83</v>
      </c>
      <c r="F227" t="s">
        <v>2945</v>
      </c>
      <c r="G227" t="s">
        <v>1536</v>
      </c>
      <c r="H227" t="s">
        <v>120</v>
      </c>
      <c r="I227" t="s">
        <v>125</v>
      </c>
    </row>
    <row r="228" spans="1:9" x14ac:dyDescent="0.25">
      <c r="A228" s="4" t="str">
        <f>"5702"</f>
        <v>5702</v>
      </c>
      <c r="B228" s="4" t="s">
        <v>2946</v>
      </c>
      <c r="C228" t="s">
        <v>2947</v>
      </c>
      <c r="D228" t="s">
        <v>2948</v>
      </c>
      <c r="E228" t="str">
        <f>"549 73"</f>
        <v>549 73</v>
      </c>
      <c r="F228" t="s">
        <v>2949</v>
      </c>
      <c r="G228" t="s">
        <v>1536</v>
      </c>
      <c r="H228" t="s">
        <v>120</v>
      </c>
      <c r="I228" t="s">
        <v>125</v>
      </c>
    </row>
    <row r="229" spans="1:9" x14ac:dyDescent="0.25">
      <c r="A229" s="4" t="str">
        <f>"2919"</f>
        <v>2919</v>
      </c>
      <c r="B229" s="4" t="s">
        <v>2950</v>
      </c>
      <c r="C229" t="s">
        <v>2951</v>
      </c>
      <c r="D229" t="s">
        <v>2952</v>
      </c>
      <c r="E229" t="str">
        <f>"547 01"</f>
        <v>547 01</v>
      </c>
      <c r="F229" t="s">
        <v>2953</v>
      </c>
      <c r="G229" t="s">
        <v>1536</v>
      </c>
      <c r="H229" t="s">
        <v>120</v>
      </c>
      <c r="I229" t="s">
        <v>125</v>
      </c>
    </row>
    <row r="230" spans="1:9" x14ac:dyDescent="0.25">
      <c r="A230" s="4" t="str">
        <f>"654"</f>
        <v>654</v>
      </c>
      <c r="B230" s="4" t="s">
        <v>2954</v>
      </c>
      <c r="C230" t="s">
        <v>2955</v>
      </c>
      <c r="D230" t="s">
        <v>2956</v>
      </c>
      <c r="E230" t="str">
        <f>"549 22"</f>
        <v>549 22</v>
      </c>
      <c r="F230" t="s">
        <v>2957</v>
      </c>
      <c r="G230" t="s">
        <v>1536</v>
      </c>
      <c r="H230" t="s">
        <v>120</v>
      </c>
      <c r="I230" t="s">
        <v>125</v>
      </c>
    </row>
    <row r="231" spans="1:9" x14ac:dyDescent="0.25">
      <c r="A231" s="4" t="str">
        <f>"6470"</f>
        <v>6470</v>
      </c>
      <c r="B231" s="4" t="s">
        <v>2958</v>
      </c>
      <c r="C231" t="s">
        <v>2959</v>
      </c>
      <c r="D231" t="s">
        <v>2960</v>
      </c>
      <c r="E231" t="str">
        <f>"549 72"</f>
        <v>549 72</v>
      </c>
      <c r="F231" t="s">
        <v>2961</v>
      </c>
      <c r="G231" t="s">
        <v>1536</v>
      </c>
      <c r="H231" t="s">
        <v>120</v>
      </c>
      <c r="I231" t="s">
        <v>125</v>
      </c>
    </row>
    <row r="232" spans="1:9" x14ac:dyDescent="0.25">
      <c r="A232" s="4" t="str">
        <f>"3372"</f>
        <v>3372</v>
      </c>
      <c r="B232" s="4" t="s">
        <v>2962</v>
      </c>
      <c r="C232" t="s">
        <v>2963</v>
      </c>
      <c r="D232" t="s">
        <v>2964</v>
      </c>
      <c r="E232" t="str">
        <f>"549 36"</f>
        <v>549 36</v>
      </c>
      <c r="F232" t="s">
        <v>2965</v>
      </c>
      <c r="G232" t="s">
        <v>1536</v>
      </c>
      <c r="H232" t="s">
        <v>120</v>
      </c>
      <c r="I232" t="s">
        <v>125</v>
      </c>
    </row>
    <row r="233" spans="1:9" x14ac:dyDescent="0.25">
      <c r="A233" s="4" t="str">
        <f>"2461"</f>
        <v>2461</v>
      </c>
      <c r="B233" s="4" t="s">
        <v>2966</v>
      </c>
      <c r="C233" t="s">
        <v>2967</v>
      </c>
      <c r="D233" t="s">
        <v>2968</v>
      </c>
      <c r="E233" t="str">
        <f>"549 48"</f>
        <v>549 48</v>
      </c>
      <c r="F233" t="s">
        <v>2969</v>
      </c>
      <c r="G233" t="s">
        <v>1536</v>
      </c>
      <c r="H233" t="s">
        <v>120</v>
      </c>
      <c r="I233" t="s">
        <v>125</v>
      </c>
    </row>
    <row r="234" spans="1:9" x14ac:dyDescent="0.25">
      <c r="A234" s="4" t="str">
        <f>"3410"</f>
        <v>3410</v>
      </c>
      <c r="B234" s="4" t="s">
        <v>2970</v>
      </c>
      <c r="C234" t="s">
        <v>2971</v>
      </c>
      <c r="D234" t="s">
        <v>2972</v>
      </c>
      <c r="E234" t="str">
        <f>"549 48"</f>
        <v>549 48</v>
      </c>
      <c r="F234" t="s">
        <v>2973</v>
      </c>
      <c r="G234" t="s">
        <v>1536</v>
      </c>
      <c r="H234" t="s">
        <v>120</v>
      </c>
      <c r="I234" t="s">
        <v>125</v>
      </c>
    </row>
    <row r="235" spans="1:9" x14ac:dyDescent="0.25">
      <c r="A235" s="4" t="str">
        <f>"6259"</f>
        <v>6259</v>
      </c>
      <c r="B235" s="4" t="s">
        <v>2974</v>
      </c>
      <c r="C235" t="s">
        <v>2975</v>
      </c>
      <c r="D235" t="s">
        <v>2976</v>
      </c>
      <c r="E235" t="str">
        <f>"549 71"</f>
        <v>549 71</v>
      </c>
      <c r="F235" t="s">
        <v>2977</v>
      </c>
      <c r="G235" t="s">
        <v>1536</v>
      </c>
      <c r="H235" t="s">
        <v>120</v>
      </c>
      <c r="I235" t="s">
        <v>125</v>
      </c>
    </row>
    <row r="236" spans="1:9" x14ac:dyDescent="0.25">
      <c r="A236" s="4" t="str">
        <f>"1909"</f>
        <v>1909</v>
      </c>
      <c r="B236" s="4" t="s">
        <v>2978</v>
      </c>
      <c r="C236" t="s">
        <v>2979</v>
      </c>
      <c r="D236" t="s">
        <v>2980</v>
      </c>
      <c r="E236" t="str">
        <f>"549 12"</f>
        <v>549 12</v>
      </c>
      <c r="F236" t="s">
        <v>2981</v>
      </c>
      <c r="G236" t="s">
        <v>1536</v>
      </c>
      <c r="H236" t="s">
        <v>120</v>
      </c>
      <c r="I236" t="s">
        <v>125</v>
      </c>
    </row>
    <row r="237" spans="1:9" x14ac:dyDescent="0.25">
      <c r="A237" s="4" t="str">
        <f>"1135"</f>
        <v>1135</v>
      </c>
      <c r="B237" s="4" t="s">
        <v>2982</v>
      </c>
      <c r="C237" t="s">
        <v>2983</v>
      </c>
      <c r="D237" t="s">
        <v>2984</v>
      </c>
      <c r="E237" t="str">
        <f>"549 37"</f>
        <v>549 37</v>
      </c>
      <c r="F237" t="s">
        <v>2985</v>
      </c>
      <c r="G237" t="s">
        <v>1536</v>
      </c>
      <c r="H237" t="s">
        <v>120</v>
      </c>
      <c r="I237" t="s">
        <v>125</v>
      </c>
    </row>
    <row r="238" spans="1:9" x14ac:dyDescent="0.25">
      <c r="A238" s="4" t="str">
        <f>"1981"</f>
        <v>1981</v>
      </c>
      <c r="B238" s="4" t="s">
        <v>1415</v>
      </c>
      <c r="C238" t="s">
        <v>1416</v>
      </c>
      <c r="D238" t="s">
        <v>1417</v>
      </c>
      <c r="E238" t="str">
        <f>"739 11"</f>
        <v>739 11</v>
      </c>
      <c r="F238" t="s">
        <v>1418</v>
      </c>
      <c r="G238" t="s">
        <v>1004</v>
      </c>
      <c r="H238" t="s">
        <v>202</v>
      </c>
      <c r="I238" t="s">
        <v>125</v>
      </c>
    </row>
    <row r="239" spans="1:9" x14ac:dyDescent="0.25">
      <c r="A239" s="4" t="str">
        <f>"3655/2003"</f>
        <v>3655/2003</v>
      </c>
      <c r="B239" s="4" t="s">
        <v>1419</v>
      </c>
      <c r="C239" t="s">
        <v>1420</v>
      </c>
      <c r="D239" t="s">
        <v>1421</v>
      </c>
      <c r="E239" t="str">
        <f>"739 91"</f>
        <v>739 91</v>
      </c>
      <c r="F239" t="s">
        <v>1422</v>
      </c>
      <c r="G239" t="s">
        <v>1004</v>
      </c>
      <c r="H239" t="s">
        <v>202</v>
      </c>
      <c r="I239" t="s">
        <v>125</v>
      </c>
    </row>
    <row r="240" spans="1:9" x14ac:dyDescent="0.25">
      <c r="A240" s="4" t="str">
        <f>"512"</f>
        <v>512</v>
      </c>
      <c r="B240" s="4" t="s">
        <v>1436</v>
      </c>
      <c r="C240" t="s">
        <v>1437</v>
      </c>
      <c r="D240" t="s">
        <v>1438</v>
      </c>
      <c r="E240" t="str">
        <f>"739 98"</f>
        <v>739 98</v>
      </c>
      <c r="F240" t="s">
        <v>1439</v>
      </c>
      <c r="G240" t="s">
        <v>1004</v>
      </c>
      <c r="H240" t="s">
        <v>120</v>
      </c>
      <c r="I240" t="s">
        <v>125</v>
      </c>
    </row>
    <row r="241" spans="1:9" x14ac:dyDescent="0.25">
      <c r="A241" s="4" t="str">
        <f>"5310"</f>
        <v>5310</v>
      </c>
      <c r="B241" s="4" t="s">
        <v>1452</v>
      </c>
      <c r="C241" t="s">
        <v>1453</v>
      </c>
      <c r="D241" t="s">
        <v>1454</v>
      </c>
      <c r="E241" t="str">
        <f>"739 53"</f>
        <v>739 53</v>
      </c>
      <c r="F241" t="s">
        <v>1455</v>
      </c>
      <c r="G241" t="s">
        <v>1004</v>
      </c>
      <c r="H241" t="s">
        <v>120</v>
      </c>
      <c r="I241" t="s">
        <v>125</v>
      </c>
    </row>
    <row r="242" spans="1:9" x14ac:dyDescent="0.25">
      <c r="A242" s="4" t="str">
        <f>"1223"</f>
        <v>1223</v>
      </c>
      <c r="B242" s="4" t="s">
        <v>1456</v>
      </c>
      <c r="C242" t="s">
        <v>1457</v>
      </c>
      <c r="D242" t="s">
        <v>1458</v>
      </c>
      <c r="E242" t="str">
        <f>"739 59"</f>
        <v>739 59</v>
      </c>
      <c r="F242" t="s">
        <v>1459</v>
      </c>
      <c r="G242" t="s">
        <v>1004</v>
      </c>
      <c r="H242" t="s">
        <v>120</v>
      </c>
      <c r="I242" t="s">
        <v>125</v>
      </c>
    </row>
    <row r="243" spans="1:9" x14ac:dyDescent="0.25">
      <c r="A243" s="4" t="str">
        <f>"1567"</f>
        <v>1567</v>
      </c>
      <c r="B243" s="4" t="s">
        <v>1468</v>
      </c>
      <c r="C243" t="s">
        <v>1469</v>
      </c>
      <c r="D243" t="s">
        <v>1470</v>
      </c>
      <c r="E243" t="str">
        <f>"739 94"</f>
        <v>739 94</v>
      </c>
      <c r="F243" t="s">
        <v>1471</v>
      </c>
      <c r="G243" t="s">
        <v>1004</v>
      </c>
      <c r="H243" t="s">
        <v>120</v>
      </c>
      <c r="I243" t="s">
        <v>125</v>
      </c>
    </row>
    <row r="244" spans="1:9" x14ac:dyDescent="0.25">
      <c r="A244" s="4" t="str">
        <f>"1288"</f>
        <v>1288</v>
      </c>
      <c r="B244" s="4" t="s">
        <v>1485</v>
      </c>
      <c r="C244" t="s">
        <v>1486</v>
      </c>
      <c r="D244" t="s">
        <v>1487</v>
      </c>
      <c r="E244" t="str">
        <f>"739 49"</f>
        <v>739 49</v>
      </c>
      <c r="F244" t="s">
        <v>1488</v>
      </c>
      <c r="G244" t="s">
        <v>1004</v>
      </c>
      <c r="H244" t="s">
        <v>120</v>
      </c>
      <c r="I244" t="s">
        <v>125</v>
      </c>
    </row>
    <row r="245" spans="1:9" x14ac:dyDescent="0.25">
      <c r="A245" s="4" t="str">
        <f>"1624"</f>
        <v>1624</v>
      </c>
      <c r="B245" s="4" t="s">
        <v>1497</v>
      </c>
      <c r="C245" t="s">
        <v>1498</v>
      </c>
      <c r="D245" t="s">
        <v>1499</v>
      </c>
      <c r="E245" t="str">
        <f>"739 97"</f>
        <v>739 97</v>
      </c>
      <c r="F245" t="s">
        <v>1500</v>
      </c>
      <c r="G245" t="s">
        <v>1004</v>
      </c>
      <c r="H245" t="s">
        <v>120</v>
      </c>
      <c r="I245" t="s">
        <v>125</v>
      </c>
    </row>
    <row r="246" spans="1:9" x14ac:dyDescent="0.25">
      <c r="A246" s="4" t="str">
        <f>"1783"</f>
        <v>1783</v>
      </c>
      <c r="B246" s="4" t="s">
        <v>1501</v>
      </c>
      <c r="C246" t="s">
        <v>1502</v>
      </c>
      <c r="D246" t="s">
        <v>1503</v>
      </c>
      <c r="E246" t="str">
        <f>"739 92"</f>
        <v>739 92</v>
      </c>
      <c r="F246" t="s">
        <v>1504</v>
      </c>
      <c r="G246" t="s">
        <v>1004</v>
      </c>
      <c r="H246" t="s">
        <v>120</v>
      </c>
      <c r="I246" t="s">
        <v>125</v>
      </c>
    </row>
    <row r="247" spans="1:9" x14ac:dyDescent="0.25">
      <c r="A247" s="4" t="str">
        <f>"4858"</f>
        <v>4858</v>
      </c>
      <c r="B247" s="4" t="s">
        <v>3341</v>
      </c>
      <c r="C247" t="s">
        <v>3342</v>
      </c>
      <c r="D247" t="s">
        <v>3343</v>
      </c>
      <c r="E247" t="str">
        <f>"747 28"</f>
        <v>747 28</v>
      </c>
      <c r="F247" t="s">
        <v>3344</v>
      </c>
      <c r="G247" t="s">
        <v>1004</v>
      </c>
      <c r="H247" t="s">
        <v>120</v>
      </c>
      <c r="I247" t="s">
        <v>125</v>
      </c>
    </row>
    <row r="248" spans="1:9" x14ac:dyDescent="0.25">
      <c r="A248" s="4" t="str">
        <f>"4016"</f>
        <v>4016</v>
      </c>
      <c r="B248" s="4" t="s">
        <v>3345</v>
      </c>
      <c r="C248" t="s">
        <v>3346</v>
      </c>
      <c r="D248" t="s">
        <v>3347</v>
      </c>
      <c r="E248" t="str">
        <f>"747 21"</f>
        <v>747 21</v>
      </c>
      <c r="F248" t="s">
        <v>3348</v>
      </c>
      <c r="G248" t="s">
        <v>1004</v>
      </c>
      <c r="H248" t="s">
        <v>202</v>
      </c>
      <c r="I248" t="s">
        <v>125</v>
      </c>
    </row>
    <row r="249" spans="1:9" x14ac:dyDescent="0.25">
      <c r="A249" s="4" t="str">
        <f>"1018"</f>
        <v>1018</v>
      </c>
      <c r="B249" s="4" t="s">
        <v>3353</v>
      </c>
      <c r="C249" t="s">
        <v>3354</v>
      </c>
      <c r="D249" t="s">
        <v>3355</v>
      </c>
      <c r="E249" t="str">
        <f>"747 64"</f>
        <v>747 64</v>
      </c>
      <c r="F249" t="s">
        <v>3356</v>
      </c>
      <c r="G249" t="s">
        <v>1004</v>
      </c>
      <c r="H249" t="s">
        <v>120</v>
      </c>
      <c r="I249" t="s">
        <v>125</v>
      </c>
    </row>
    <row r="250" spans="1:9" x14ac:dyDescent="0.25">
      <c r="A250" s="4" t="str">
        <f>"4045"</f>
        <v>4045</v>
      </c>
      <c r="B250" s="4" t="s">
        <v>3357</v>
      </c>
      <c r="C250" t="s">
        <v>3358</v>
      </c>
      <c r="D250" t="s">
        <v>3359</v>
      </c>
      <c r="E250" t="str">
        <f>"747 23"</f>
        <v>747 23</v>
      </c>
      <c r="F250" t="s">
        <v>3360</v>
      </c>
      <c r="G250" t="s">
        <v>1004</v>
      </c>
      <c r="H250" t="s">
        <v>120</v>
      </c>
      <c r="I250" t="s">
        <v>125</v>
      </c>
    </row>
    <row r="251" spans="1:9" x14ac:dyDescent="0.25">
      <c r="A251" s="4" t="str">
        <f>"392"</f>
        <v>392</v>
      </c>
      <c r="B251" s="4" t="s">
        <v>3361</v>
      </c>
      <c r="C251" t="s">
        <v>3362</v>
      </c>
      <c r="D251" t="s">
        <v>3363</v>
      </c>
      <c r="E251" t="str">
        <f>"747 18"</f>
        <v>747 18</v>
      </c>
      <c r="F251" t="s">
        <v>3364</v>
      </c>
      <c r="G251" t="s">
        <v>1004</v>
      </c>
      <c r="H251" t="s">
        <v>120</v>
      </c>
      <c r="I251" t="s">
        <v>125</v>
      </c>
    </row>
    <row r="252" spans="1:9" x14ac:dyDescent="0.25">
      <c r="A252" s="4" t="str">
        <f>"1359"</f>
        <v>1359</v>
      </c>
      <c r="B252" s="4" t="s">
        <v>3365</v>
      </c>
      <c r="C252" t="s">
        <v>3366</v>
      </c>
      <c r="D252" t="s">
        <v>3367</v>
      </c>
      <c r="E252" t="str">
        <f>"747 57"</f>
        <v>747 57</v>
      </c>
      <c r="F252" t="s">
        <v>3368</v>
      </c>
      <c r="G252" t="s">
        <v>1004</v>
      </c>
      <c r="H252" t="s">
        <v>120</v>
      </c>
      <c r="I252" t="s">
        <v>125</v>
      </c>
    </row>
    <row r="253" spans="1:9" x14ac:dyDescent="0.25">
      <c r="A253" s="4" t="str">
        <f>"5077"</f>
        <v>5077</v>
      </c>
      <c r="B253" s="4" t="s">
        <v>3369</v>
      </c>
      <c r="C253" t="s">
        <v>3370</v>
      </c>
      <c r="D253" t="s">
        <v>3371</v>
      </c>
      <c r="E253" t="str">
        <f>"747 91"</f>
        <v>747 91</v>
      </c>
      <c r="F253" t="s">
        <v>3372</v>
      </c>
      <c r="G253" t="s">
        <v>1004</v>
      </c>
      <c r="H253" t="s">
        <v>120</v>
      </c>
      <c r="I253" t="s">
        <v>125</v>
      </c>
    </row>
    <row r="254" spans="1:9" x14ac:dyDescent="0.25">
      <c r="A254" s="4" t="str">
        <f>"6556"</f>
        <v>6556</v>
      </c>
      <c r="B254" s="4" t="s">
        <v>3373</v>
      </c>
      <c r="C254" t="s">
        <v>3374</v>
      </c>
      <c r="D254" t="s">
        <v>3375</v>
      </c>
      <c r="E254" t="str">
        <f>"747 94"</f>
        <v>747 94</v>
      </c>
      <c r="F254" t="s">
        <v>3376</v>
      </c>
      <c r="G254" t="s">
        <v>1004</v>
      </c>
      <c r="H254" t="s">
        <v>120</v>
      </c>
      <c r="I254" t="s">
        <v>125</v>
      </c>
    </row>
    <row r="255" spans="1:9" x14ac:dyDescent="0.25">
      <c r="A255" s="4" t="str">
        <f>"3379"</f>
        <v>3379</v>
      </c>
      <c r="B255" s="4" t="s">
        <v>3942</v>
      </c>
      <c r="C255" t="s">
        <v>3943</v>
      </c>
      <c r="D255" t="s">
        <v>3944</v>
      </c>
      <c r="E255" t="str">
        <f>"751 03"</f>
        <v>751 03</v>
      </c>
      <c r="F255" t="s">
        <v>3945</v>
      </c>
      <c r="G255" t="s">
        <v>1023</v>
      </c>
      <c r="H255" t="s">
        <v>120</v>
      </c>
      <c r="I255" t="s">
        <v>125</v>
      </c>
    </row>
    <row r="256" spans="1:9" x14ac:dyDescent="0.25">
      <c r="A256" s="4" t="str">
        <f>"3550"</f>
        <v>3550</v>
      </c>
      <c r="B256" s="4" t="s">
        <v>3404</v>
      </c>
      <c r="C256" t="s">
        <v>3405</v>
      </c>
      <c r="D256" t="s">
        <v>3406</v>
      </c>
      <c r="E256" t="str">
        <f t="shared" ref="E256:E261" si="1">"530 02"</f>
        <v>530 02</v>
      </c>
      <c r="F256" t="s">
        <v>3407</v>
      </c>
      <c r="G256" t="s">
        <v>1294</v>
      </c>
      <c r="H256" t="s">
        <v>120</v>
      </c>
      <c r="I256" t="s">
        <v>125</v>
      </c>
    </row>
    <row r="257" spans="1:9" x14ac:dyDescent="0.25">
      <c r="A257" s="4" t="str">
        <f>"3551"</f>
        <v>3551</v>
      </c>
      <c r="B257" s="4" t="s">
        <v>3408</v>
      </c>
      <c r="C257" t="s">
        <v>3409</v>
      </c>
      <c r="D257" t="s">
        <v>3410</v>
      </c>
      <c r="E257" t="str">
        <f t="shared" si="1"/>
        <v>530 02</v>
      </c>
      <c r="F257" t="s">
        <v>3410</v>
      </c>
      <c r="G257" t="s">
        <v>1294</v>
      </c>
      <c r="H257" t="s">
        <v>120</v>
      </c>
      <c r="I257" t="s">
        <v>125</v>
      </c>
    </row>
    <row r="258" spans="1:9" x14ac:dyDescent="0.25">
      <c r="A258" s="4" t="str">
        <f>"4803"</f>
        <v>4803</v>
      </c>
      <c r="B258" s="4" t="s">
        <v>3411</v>
      </c>
      <c r="C258" t="s">
        <v>3412</v>
      </c>
      <c r="D258" t="s">
        <v>3413</v>
      </c>
      <c r="E258" t="str">
        <f t="shared" si="1"/>
        <v>530 02</v>
      </c>
      <c r="F258" t="s">
        <v>3414</v>
      </c>
      <c r="G258" t="s">
        <v>1294</v>
      </c>
      <c r="H258" t="s">
        <v>120</v>
      </c>
      <c r="I258" t="s">
        <v>125</v>
      </c>
    </row>
    <row r="259" spans="1:9" x14ac:dyDescent="0.25">
      <c r="A259" s="4" t="str">
        <f>"4908"</f>
        <v>4908</v>
      </c>
      <c r="B259" s="4" t="s">
        <v>3415</v>
      </c>
      <c r="C259" t="s">
        <v>3416</v>
      </c>
      <c r="D259" t="s">
        <v>3417</v>
      </c>
      <c r="E259" t="str">
        <f t="shared" si="1"/>
        <v>530 02</v>
      </c>
      <c r="F259" t="s">
        <v>3418</v>
      </c>
      <c r="G259" t="s">
        <v>1294</v>
      </c>
      <c r="H259" t="s">
        <v>120</v>
      </c>
      <c r="I259" t="s">
        <v>125</v>
      </c>
    </row>
    <row r="260" spans="1:9" x14ac:dyDescent="0.25">
      <c r="A260" s="4" t="str">
        <f>"4912"</f>
        <v>4912</v>
      </c>
      <c r="B260" s="4" t="s">
        <v>3419</v>
      </c>
      <c r="C260" t="s">
        <v>3420</v>
      </c>
      <c r="D260" t="s">
        <v>3421</v>
      </c>
      <c r="E260" t="str">
        <f t="shared" si="1"/>
        <v>530 02</v>
      </c>
      <c r="F260" t="s">
        <v>3422</v>
      </c>
      <c r="G260" t="s">
        <v>1294</v>
      </c>
      <c r="H260" t="s">
        <v>120</v>
      </c>
      <c r="I260" t="s">
        <v>125</v>
      </c>
    </row>
    <row r="261" spans="1:9" x14ac:dyDescent="0.25">
      <c r="A261" s="4" t="str">
        <f>"5279"</f>
        <v>5279</v>
      </c>
      <c r="B261" s="4" t="s">
        <v>3423</v>
      </c>
      <c r="C261" t="s">
        <v>3424</v>
      </c>
      <c r="D261" t="s">
        <v>3425</v>
      </c>
      <c r="E261" t="str">
        <f t="shared" si="1"/>
        <v>530 02</v>
      </c>
      <c r="F261" t="s">
        <v>3426</v>
      </c>
      <c r="G261" t="s">
        <v>1294</v>
      </c>
      <c r="H261" t="s">
        <v>120</v>
      </c>
      <c r="I261" t="s">
        <v>125</v>
      </c>
    </row>
    <row r="262" spans="1:9" x14ac:dyDescent="0.25">
      <c r="A262" s="4" t="str">
        <f>"3048"</f>
        <v>3048</v>
      </c>
      <c r="B262" s="4" t="s">
        <v>3427</v>
      </c>
      <c r="C262" t="s">
        <v>3428</v>
      </c>
      <c r="D262" t="s">
        <v>3429</v>
      </c>
      <c r="E262" t="str">
        <f>"530 03"</f>
        <v>530 03</v>
      </c>
      <c r="F262" t="s">
        <v>3430</v>
      </c>
      <c r="G262" t="s">
        <v>1294</v>
      </c>
      <c r="H262" t="s">
        <v>120</v>
      </c>
      <c r="I262" t="s">
        <v>125</v>
      </c>
    </row>
    <row r="263" spans="1:9" x14ac:dyDescent="0.25">
      <c r="A263" s="4" t="str">
        <f>"6292"</f>
        <v>6292</v>
      </c>
      <c r="B263" s="4" t="s">
        <v>3431</v>
      </c>
      <c r="C263" t="s">
        <v>3432</v>
      </c>
      <c r="D263" t="s">
        <v>3433</v>
      </c>
      <c r="E263" t="str">
        <f>"530 06"</f>
        <v>530 06</v>
      </c>
      <c r="F263" t="s">
        <v>3434</v>
      </c>
      <c r="G263" t="s">
        <v>1294</v>
      </c>
      <c r="H263" t="s">
        <v>120</v>
      </c>
      <c r="I263" t="s">
        <v>125</v>
      </c>
    </row>
    <row r="264" spans="1:9" x14ac:dyDescent="0.25">
      <c r="A264" s="4" t="str">
        <f>"3050"</f>
        <v>3050</v>
      </c>
      <c r="B264" s="4" t="s">
        <v>3435</v>
      </c>
      <c r="C264" t="s">
        <v>3436</v>
      </c>
      <c r="D264" t="s">
        <v>3437</v>
      </c>
      <c r="E264" t="str">
        <f>"533 51"</f>
        <v>533 51</v>
      </c>
      <c r="F264" t="s">
        <v>3438</v>
      </c>
      <c r="G264" t="s">
        <v>1294</v>
      </c>
      <c r="H264" t="s">
        <v>202</v>
      </c>
      <c r="I264" t="s">
        <v>125</v>
      </c>
    </row>
    <row r="265" spans="1:9" x14ac:dyDescent="0.25">
      <c r="A265" s="4" t="str">
        <f>"3817"</f>
        <v>3817</v>
      </c>
      <c r="B265" s="4" t="s">
        <v>3439</v>
      </c>
      <c r="C265" t="s">
        <v>3440</v>
      </c>
      <c r="D265" t="s">
        <v>3441</v>
      </c>
      <c r="E265" t="str">
        <f>"530 02"</f>
        <v>530 02</v>
      </c>
      <c r="F265" t="s">
        <v>3442</v>
      </c>
      <c r="G265" t="s">
        <v>1294</v>
      </c>
      <c r="H265" t="s">
        <v>120</v>
      </c>
      <c r="I265" t="s">
        <v>125</v>
      </c>
    </row>
    <row r="266" spans="1:9" x14ac:dyDescent="0.25">
      <c r="A266" s="4" t="str">
        <f>"6518"</f>
        <v>6518</v>
      </c>
      <c r="B266" s="4" t="s">
        <v>3443</v>
      </c>
      <c r="C266" t="s">
        <v>3444</v>
      </c>
      <c r="D266" t="s">
        <v>3445</v>
      </c>
      <c r="E266" t="str">
        <f>"530 02"</f>
        <v>530 02</v>
      </c>
      <c r="F266" t="s">
        <v>3446</v>
      </c>
      <c r="G266" t="s">
        <v>1294</v>
      </c>
      <c r="H266" t="s">
        <v>120</v>
      </c>
      <c r="I266" t="s">
        <v>125</v>
      </c>
    </row>
    <row r="267" spans="1:9" x14ac:dyDescent="0.25">
      <c r="A267" s="4" t="str">
        <f>"3047"</f>
        <v>3047</v>
      </c>
      <c r="B267" s="4" t="s">
        <v>3447</v>
      </c>
      <c r="C267" t="s">
        <v>3448</v>
      </c>
      <c r="D267" t="s">
        <v>3449</v>
      </c>
      <c r="E267" t="str">
        <f>"530 03"</f>
        <v>530 03</v>
      </c>
      <c r="F267" t="s">
        <v>3450</v>
      </c>
      <c r="G267" t="s">
        <v>1294</v>
      </c>
      <c r="H267" t="s">
        <v>120</v>
      </c>
      <c r="I267" t="s">
        <v>125</v>
      </c>
    </row>
    <row r="268" spans="1:9" x14ac:dyDescent="0.25">
      <c r="A268" s="4" t="str">
        <f>"6462"</f>
        <v>6462</v>
      </c>
      <c r="B268" s="4" t="s">
        <v>3475</v>
      </c>
      <c r="C268" t="s">
        <v>3476</v>
      </c>
      <c r="D268" t="s">
        <v>3477</v>
      </c>
      <c r="E268" t="str">
        <f>"534 01"</f>
        <v>534 01</v>
      </c>
      <c r="F268" t="s">
        <v>3478</v>
      </c>
      <c r="G268" t="s">
        <v>1294</v>
      </c>
      <c r="H268" t="s">
        <v>120</v>
      </c>
      <c r="I268" t="s">
        <v>125</v>
      </c>
    </row>
    <row r="269" spans="1:9" x14ac:dyDescent="0.25">
      <c r="A269" s="4" t="str">
        <f>"3740"</f>
        <v>3740</v>
      </c>
      <c r="B269" s="4" t="s">
        <v>3479</v>
      </c>
      <c r="C269" t="s">
        <v>3480</v>
      </c>
      <c r="D269" t="s">
        <v>3481</v>
      </c>
      <c r="E269" t="str">
        <f>"533 32"</f>
        <v>533 32</v>
      </c>
      <c r="F269" t="s">
        <v>3482</v>
      </c>
      <c r="G269" t="s">
        <v>1294</v>
      </c>
      <c r="H269" t="s">
        <v>120</v>
      </c>
      <c r="I269" t="s">
        <v>125</v>
      </c>
    </row>
    <row r="270" spans="1:9" x14ac:dyDescent="0.25">
      <c r="A270" s="4" t="str">
        <f>"5846"</f>
        <v>5846</v>
      </c>
      <c r="B270" s="4" t="s">
        <v>3483</v>
      </c>
      <c r="C270" t="s">
        <v>3484</v>
      </c>
      <c r="D270" t="s">
        <v>3485</v>
      </c>
      <c r="E270" t="str">
        <f>"533 05"</f>
        <v>533 05</v>
      </c>
      <c r="F270" t="s">
        <v>3486</v>
      </c>
      <c r="G270" t="s">
        <v>1294</v>
      </c>
      <c r="H270" t="s">
        <v>120</v>
      </c>
      <c r="I270" t="s">
        <v>125</v>
      </c>
    </row>
    <row r="271" spans="1:9" x14ac:dyDescent="0.25">
      <c r="A271" s="4" t="str">
        <f>"4234"</f>
        <v>4234</v>
      </c>
      <c r="B271" s="4" t="s">
        <v>3487</v>
      </c>
      <c r="C271" t="s">
        <v>3488</v>
      </c>
      <c r="D271" t="s">
        <v>3489</v>
      </c>
      <c r="E271" t="str">
        <f>"533 15"</f>
        <v>533 15</v>
      </c>
      <c r="F271" t="s">
        <v>3490</v>
      </c>
      <c r="G271" t="s">
        <v>1294</v>
      </c>
      <c r="H271" t="s">
        <v>120</v>
      </c>
      <c r="I271" t="s">
        <v>125</v>
      </c>
    </row>
    <row r="272" spans="1:9" x14ac:dyDescent="0.25">
      <c r="A272" s="4" t="str">
        <f>"3359"</f>
        <v>3359</v>
      </c>
      <c r="B272" s="4" t="s">
        <v>3491</v>
      </c>
      <c r="C272" t="s">
        <v>3492</v>
      </c>
      <c r="D272" t="s">
        <v>3493</v>
      </c>
      <c r="E272" t="str">
        <f>"534 01"</f>
        <v>534 01</v>
      </c>
      <c r="F272" t="s">
        <v>3494</v>
      </c>
      <c r="G272" t="s">
        <v>1294</v>
      </c>
      <c r="H272" t="s">
        <v>120</v>
      </c>
      <c r="I272" t="s">
        <v>125</v>
      </c>
    </row>
    <row r="273" spans="1:9" x14ac:dyDescent="0.25">
      <c r="A273" s="4" t="str">
        <f>"5548"</f>
        <v>5548</v>
      </c>
      <c r="B273" s="4" t="s">
        <v>3495</v>
      </c>
      <c r="C273" t="s">
        <v>3496</v>
      </c>
      <c r="D273" t="s">
        <v>3497</v>
      </c>
      <c r="E273" t="str">
        <f>"530 02"</f>
        <v>530 02</v>
      </c>
      <c r="F273" t="s">
        <v>3498</v>
      </c>
      <c r="G273" t="s">
        <v>1294</v>
      </c>
      <c r="H273" t="s">
        <v>120</v>
      </c>
      <c r="I273" t="s">
        <v>125</v>
      </c>
    </row>
    <row r="274" spans="1:9" x14ac:dyDescent="0.25">
      <c r="A274" s="4" t="str">
        <f>"5010"</f>
        <v>5010</v>
      </c>
      <c r="B274" s="4" t="s">
        <v>3499</v>
      </c>
      <c r="C274" t="s">
        <v>3500</v>
      </c>
      <c r="D274" t="s">
        <v>3501</v>
      </c>
      <c r="E274" t="str">
        <f>"533 12"</f>
        <v>533 12</v>
      </c>
      <c r="F274" t="s">
        <v>3502</v>
      </c>
      <c r="G274" t="s">
        <v>1294</v>
      </c>
      <c r="H274" t="s">
        <v>120</v>
      </c>
      <c r="I274" t="s">
        <v>125</v>
      </c>
    </row>
    <row r="275" spans="1:9" x14ac:dyDescent="0.25">
      <c r="A275" s="4" t="str">
        <f>"5746"</f>
        <v>5746</v>
      </c>
      <c r="B275" s="4" t="s">
        <v>3503</v>
      </c>
      <c r="C275" t="s">
        <v>3504</v>
      </c>
      <c r="D275" t="s">
        <v>3505</v>
      </c>
      <c r="E275" t="str">
        <f>"533 41"</f>
        <v>533 41</v>
      </c>
      <c r="F275" t="s">
        <v>3506</v>
      </c>
      <c r="G275" t="s">
        <v>1294</v>
      </c>
      <c r="H275" t="s">
        <v>120</v>
      </c>
      <c r="I275" t="s">
        <v>125</v>
      </c>
    </row>
    <row r="276" spans="1:9" x14ac:dyDescent="0.25">
      <c r="A276" s="4" t="str">
        <f>"5764"</f>
        <v>5764</v>
      </c>
      <c r="B276" s="4" t="s">
        <v>3507</v>
      </c>
      <c r="C276" t="s">
        <v>3508</v>
      </c>
      <c r="D276" t="s">
        <v>3509</v>
      </c>
      <c r="E276" t="str">
        <f>"533 41"</f>
        <v>533 41</v>
      </c>
      <c r="F276" t="s">
        <v>3510</v>
      </c>
      <c r="G276" t="s">
        <v>1294</v>
      </c>
      <c r="H276" t="s">
        <v>120</v>
      </c>
      <c r="I276" t="s">
        <v>125</v>
      </c>
    </row>
    <row r="277" spans="1:9" x14ac:dyDescent="0.25">
      <c r="A277" s="4" t="str">
        <f>"3601"</f>
        <v>3601</v>
      </c>
      <c r="B277" s="4" t="s">
        <v>3511</v>
      </c>
      <c r="C277" t="s">
        <v>3512</v>
      </c>
      <c r="D277" t="s">
        <v>3513</v>
      </c>
      <c r="E277" t="str">
        <f>"533 45"</f>
        <v>533 45</v>
      </c>
      <c r="F277" t="s">
        <v>3514</v>
      </c>
      <c r="G277" t="s">
        <v>1294</v>
      </c>
      <c r="H277" t="s">
        <v>120</v>
      </c>
      <c r="I277" t="s">
        <v>125</v>
      </c>
    </row>
    <row r="278" spans="1:9" x14ac:dyDescent="0.25">
      <c r="A278" s="4" t="str">
        <f>"4669"</f>
        <v>4669</v>
      </c>
      <c r="B278" s="4" t="s">
        <v>3515</v>
      </c>
      <c r="C278" t="s">
        <v>3516</v>
      </c>
      <c r="D278" t="s">
        <v>1203</v>
      </c>
      <c r="E278" t="str">
        <f>"535 01"</f>
        <v>535 01</v>
      </c>
      <c r="F278" t="s">
        <v>1203</v>
      </c>
      <c r="G278" t="s">
        <v>1294</v>
      </c>
      <c r="H278" t="s">
        <v>120</v>
      </c>
      <c r="I278" t="s">
        <v>125</v>
      </c>
    </row>
    <row r="279" spans="1:9" x14ac:dyDescent="0.25">
      <c r="A279" s="4" t="str">
        <f>"4795"</f>
        <v>4795</v>
      </c>
      <c r="B279" s="4" t="s">
        <v>3517</v>
      </c>
      <c r="C279" t="s">
        <v>3518</v>
      </c>
      <c r="D279" t="s">
        <v>3519</v>
      </c>
      <c r="E279" t="str">
        <f>"535 01"</f>
        <v>535 01</v>
      </c>
      <c r="F279" t="s">
        <v>3520</v>
      </c>
      <c r="G279" t="s">
        <v>1294</v>
      </c>
      <c r="H279" t="s">
        <v>120</v>
      </c>
      <c r="I279" t="s">
        <v>125</v>
      </c>
    </row>
    <row r="280" spans="1:9" x14ac:dyDescent="0.25">
      <c r="A280" s="4" t="str">
        <f>"4829"</f>
        <v>4829</v>
      </c>
      <c r="B280" s="4" t="s">
        <v>3521</v>
      </c>
      <c r="C280" t="s">
        <v>3522</v>
      </c>
      <c r="D280" t="s">
        <v>3523</v>
      </c>
      <c r="E280" t="str">
        <f>"535 01"</f>
        <v>535 01</v>
      </c>
      <c r="F280" t="s">
        <v>3524</v>
      </c>
      <c r="G280" t="s">
        <v>1294</v>
      </c>
      <c r="H280" t="s">
        <v>120</v>
      </c>
      <c r="I280" t="s">
        <v>125</v>
      </c>
    </row>
    <row r="281" spans="1:9" x14ac:dyDescent="0.25">
      <c r="A281" s="4" t="str">
        <f>"4550"</f>
        <v>4550</v>
      </c>
      <c r="B281" s="4" t="s">
        <v>3525</v>
      </c>
      <c r="C281" t="s">
        <v>3526</v>
      </c>
      <c r="D281" t="s">
        <v>3527</v>
      </c>
      <c r="E281" t="str">
        <f>"533 42"</f>
        <v>533 42</v>
      </c>
      <c r="F281" t="s">
        <v>3528</v>
      </c>
      <c r="G281" t="s">
        <v>1294</v>
      </c>
      <c r="H281" t="s">
        <v>120</v>
      </c>
      <c r="I281" t="s">
        <v>125</v>
      </c>
    </row>
    <row r="282" spans="1:9" x14ac:dyDescent="0.25">
      <c r="A282" s="4" t="str">
        <f>"4640"</f>
        <v>4640</v>
      </c>
      <c r="B282" s="4" t="s">
        <v>3529</v>
      </c>
      <c r="C282" t="s">
        <v>3530</v>
      </c>
      <c r="D282" t="s">
        <v>3531</v>
      </c>
      <c r="E282" t="str">
        <f>"533 54"</f>
        <v>533 54</v>
      </c>
      <c r="F282" t="s">
        <v>3532</v>
      </c>
      <c r="G282" t="s">
        <v>1294</v>
      </c>
      <c r="H282" t="s">
        <v>120</v>
      </c>
      <c r="I282" t="s">
        <v>125</v>
      </c>
    </row>
    <row r="283" spans="1:9" x14ac:dyDescent="0.25">
      <c r="A283" s="4" t="str">
        <f>"4564"</f>
        <v>4564</v>
      </c>
      <c r="B283" s="4" t="s">
        <v>3533</v>
      </c>
      <c r="C283" t="s">
        <v>3534</v>
      </c>
      <c r="D283" t="s">
        <v>3535</v>
      </c>
      <c r="E283" t="str">
        <f>"530 02"</f>
        <v>530 02</v>
      </c>
      <c r="G283" t="s">
        <v>1294</v>
      </c>
      <c r="H283" t="s">
        <v>120</v>
      </c>
      <c r="I283" t="s">
        <v>125</v>
      </c>
    </row>
    <row r="284" spans="1:9" x14ac:dyDescent="0.25">
      <c r="A284" s="4" t="str">
        <f>"2965"</f>
        <v>2965</v>
      </c>
      <c r="B284" s="4" t="s">
        <v>3536</v>
      </c>
      <c r="C284" t="s">
        <v>3537</v>
      </c>
      <c r="D284" t="s">
        <v>3538</v>
      </c>
      <c r="E284" t="str">
        <f>"533 52"</f>
        <v>533 52</v>
      </c>
      <c r="F284" t="s">
        <v>3538</v>
      </c>
      <c r="G284" t="s">
        <v>1294</v>
      </c>
      <c r="H284" t="s">
        <v>120</v>
      </c>
      <c r="I284" t="s">
        <v>125</v>
      </c>
    </row>
    <row r="285" spans="1:9" x14ac:dyDescent="0.25">
      <c r="A285" s="4" t="str">
        <f>"4794"</f>
        <v>4794</v>
      </c>
      <c r="B285" s="4" t="s">
        <v>3539</v>
      </c>
      <c r="C285" t="s">
        <v>3540</v>
      </c>
      <c r="D285" t="s">
        <v>3541</v>
      </c>
      <c r="E285" t="str">
        <f>"533 52"</f>
        <v>533 52</v>
      </c>
      <c r="F285" t="s">
        <v>3542</v>
      </c>
      <c r="G285" t="s">
        <v>1294</v>
      </c>
      <c r="H285" t="s">
        <v>120</v>
      </c>
      <c r="I285" t="s">
        <v>125</v>
      </c>
    </row>
    <row r="286" spans="1:9" x14ac:dyDescent="0.25">
      <c r="A286" s="4" t="str">
        <f>"5447"</f>
        <v>5447</v>
      </c>
      <c r="B286" s="4" t="s">
        <v>3543</v>
      </c>
      <c r="C286" t="s">
        <v>3544</v>
      </c>
      <c r="D286" t="s">
        <v>3545</v>
      </c>
      <c r="E286" t="str">
        <f>"533 52"</f>
        <v>533 52</v>
      </c>
      <c r="F286" t="s">
        <v>3546</v>
      </c>
      <c r="G286" t="s">
        <v>1294</v>
      </c>
      <c r="H286" t="s">
        <v>120</v>
      </c>
      <c r="I286" t="s">
        <v>125</v>
      </c>
    </row>
    <row r="287" spans="1:9" x14ac:dyDescent="0.25">
      <c r="A287" s="4" t="str">
        <f>"4439"</f>
        <v>4439</v>
      </c>
      <c r="B287" s="4" t="s">
        <v>3547</v>
      </c>
      <c r="C287" t="s">
        <v>3548</v>
      </c>
      <c r="D287" t="s">
        <v>3549</v>
      </c>
      <c r="E287" t="str">
        <f>"533 16"</f>
        <v>533 16</v>
      </c>
      <c r="F287" t="s">
        <v>3549</v>
      </c>
      <c r="G287" t="s">
        <v>1294</v>
      </c>
      <c r="H287" t="s">
        <v>120</v>
      </c>
      <c r="I287" t="s">
        <v>125</v>
      </c>
    </row>
    <row r="288" spans="1:9" x14ac:dyDescent="0.25">
      <c r="A288" s="4" t="str">
        <f>"2670"</f>
        <v>2670</v>
      </c>
      <c r="B288" s="4" t="s">
        <v>3550</v>
      </c>
      <c r="C288" t="s">
        <v>3551</v>
      </c>
      <c r="D288" t="s">
        <v>3552</v>
      </c>
      <c r="E288" t="str">
        <f>"534 01"</f>
        <v>534 01</v>
      </c>
      <c r="F288" t="s">
        <v>3553</v>
      </c>
      <c r="G288" t="s">
        <v>1294</v>
      </c>
      <c r="H288" t="s">
        <v>120</v>
      </c>
      <c r="I288" t="s">
        <v>125</v>
      </c>
    </row>
    <row r="289" spans="1:9" x14ac:dyDescent="0.25">
      <c r="A289" s="4" t="str">
        <f>"4650"</f>
        <v>4650</v>
      </c>
      <c r="B289" s="4" t="s">
        <v>3554</v>
      </c>
      <c r="C289" t="s">
        <v>3555</v>
      </c>
      <c r="D289" t="s">
        <v>3556</v>
      </c>
      <c r="E289" t="str">
        <f>"533 73"</f>
        <v>533 73</v>
      </c>
      <c r="F289" t="s">
        <v>3557</v>
      </c>
      <c r="G289" t="s">
        <v>1294</v>
      </c>
      <c r="H289" t="s">
        <v>120</v>
      </c>
      <c r="I289" t="s">
        <v>125</v>
      </c>
    </row>
    <row r="290" spans="1:9" x14ac:dyDescent="0.25">
      <c r="A290" s="4" t="str">
        <f>"3009"</f>
        <v>3009</v>
      </c>
      <c r="B290" s="4" t="s">
        <v>3558</v>
      </c>
      <c r="C290" t="s">
        <v>3559</v>
      </c>
      <c r="D290" t="s">
        <v>3560</v>
      </c>
      <c r="E290" t="str">
        <f>"533 16"</f>
        <v>533 16</v>
      </c>
      <c r="F290" t="s">
        <v>3561</v>
      </c>
      <c r="G290" t="s">
        <v>1294</v>
      </c>
      <c r="H290" t="s">
        <v>120</v>
      </c>
      <c r="I290" t="s">
        <v>125</v>
      </c>
    </row>
    <row r="291" spans="1:9" x14ac:dyDescent="0.25">
      <c r="A291" s="4" t="str">
        <f>"3872"</f>
        <v>3872</v>
      </c>
      <c r="B291" s="4" t="s">
        <v>3562</v>
      </c>
      <c r="C291" t="s">
        <v>3563</v>
      </c>
      <c r="D291" t="s">
        <v>3564</v>
      </c>
      <c r="E291" t="str">
        <f>"533 16"</f>
        <v>533 16</v>
      </c>
      <c r="F291" t="s">
        <v>3565</v>
      </c>
      <c r="G291" t="s">
        <v>1294</v>
      </c>
      <c r="H291" t="s">
        <v>120</v>
      </c>
      <c r="I291" t="s">
        <v>125</v>
      </c>
    </row>
    <row r="292" spans="1:9" x14ac:dyDescent="0.25">
      <c r="A292" s="4" t="str">
        <f>"4757"</f>
        <v>4757</v>
      </c>
      <c r="B292" s="4" t="s">
        <v>3566</v>
      </c>
      <c r="C292" t="s">
        <v>3567</v>
      </c>
      <c r="D292" t="s">
        <v>3568</v>
      </c>
      <c r="E292" t="str">
        <f>"533 16"</f>
        <v>533 16</v>
      </c>
      <c r="F292" t="s">
        <v>3569</v>
      </c>
      <c r="G292" t="s">
        <v>1294</v>
      </c>
      <c r="H292" t="s">
        <v>120</v>
      </c>
      <c r="I292" t="s">
        <v>125</v>
      </c>
    </row>
    <row r="293" spans="1:9" x14ac:dyDescent="0.25">
      <c r="A293" s="4" t="str">
        <f>"5707"</f>
        <v>5707</v>
      </c>
      <c r="B293" s="4" t="s">
        <v>3570</v>
      </c>
      <c r="C293" t="s">
        <v>3571</v>
      </c>
      <c r="D293" t="s">
        <v>3572</v>
      </c>
      <c r="E293" t="str">
        <f>"533 16"</f>
        <v>533 16</v>
      </c>
      <c r="F293" t="s">
        <v>3573</v>
      </c>
      <c r="G293" t="s">
        <v>1294</v>
      </c>
      <c r="H293" t="s">
        <v>120</v>
      </c>
      <c r="I293" t="s">
        <v>125</v>
      </c>
    </row>
    <row r="294" spans="1:9" x14ac:dyDescent="0.25">
      <c r="A294" s="4" t="str">
        <f>"3886"</f>
        <v>3886</v>
      </c>
      <c r="B294" s="4" t="s">
        <v>3574</v>
      </c>
      <c r="C294" t="s">
        <v>3575</v>
      </c>
      <c r="D294" t="s">
        <v>3576</v>
      </c>
      <c r="E294" t="str">
        <f>"566 01"</f>
        <v>566 01</v>
      </c>
      <c r="F294" t="s">
        <v>3577</v>
      </c>
      <c r="G294" t="s">
        <v>1294</v>
      </c>
      <c r="H294" t="s">
        <v>120</v>
      </c>
      <c r="I294" t="s">
        <v>125</v>
      </c>
    </row>
    <row r="295" spans="1:9" x14ac:dyDescent="0.25">
      <c r="A295" s="4" t="str">
        <f>"4874"</f>
        <v>4874</v>
      </c>
      <c r="B295" s="4" t="s">
        <v>3578</v>
      </c>
      <c r="C295" t="s">
        <v>3579</v>
      </c>
      <c r="D295" t="s">
        <v>3580</v>
      </c>
      <c r="E295" t="str">
        <f>"533 11"</f>
        <v>533 11</v>
      </c>
      <c r="F295" t="s">
        <v>3581</v>
      </c>
      <c r="G295" t="s">
        <v>1294</v>
      </c>
      <c r="H295" t="s">
        <v>120</v>
      </c>
      <c r="I295" t="s">
        <v>125</v>
      </c>
    </row>
    <row r="296" spans="1:9" x14ac:dyDescent="0.25">
      <c r="A296" s="4" t="str">
        <f>"6574"</f>
        <v>6574</v>
      </c>
      <c r="B296" s="4" t="s">
        <v>3582</v>
      </c>
      <c r="C296" t="s">
        <v>3583</v>
      </c>
      <c r="D296" t="s">
        <v>3584</v>
      </c>
      <c r="E296" t="str">
        <f>"533 14"</f>
        <v>533 14</v>
      </c>
      <c r="F296" t="s">
        <v>3585</v>
      </c>
      <c r="G296" t="s">
        <v>1294</v>
      </c>
      <c r="H296" t="s">
        <v>120</v>
      </c>
      <c r="I296" t="s">
        <v>125</v>
      </c>
    </row>
    <row r="297" spans="1:9" x14ac:dyDescent="0.25">
      <c r="A297" s="4" t="str">
        <f>"26"</f>
        <v>26</v>
      </c>
      <c r="B297" s="4" t="s">
        <v>4131</v>
      </c>
      <c r="C297" t="s">
        <v>4132</v>
      </c>
      <c r="D297" t="s">
        <v>4133</v>
      </c>
      <c r="E297" t="str">
        <f>"568 02"</f>
        <v>568 02</v>
      </c>
      <c r="F297" t="s">
        <v>4134</v>
      </c>
      <c r="G297" t="s">
        <v>1294</v>
      </c>
      <c r="H297" t="s">
        <v>120</v>
      </c>
      <c r="I297" t="s">
        <v>125</v>
      </c>
    </row>
    <row r="298" spans="1:9" x14ac:dyDescent="0.25">
      <c r="A298" s="4" t="str">
        <f>"57"</f>
        <v>57</v>
      </c>
      <c r="B298" s="4" t="s">
        <v>4135</v>
      </c>
      <c r="C298" t="s">
        <v>4136</v>
      </c>
      <c r="D298" t="s">
        <v>4137</v>
      </c>
      <c r="E298" t="str">
        <f>"568 02"</f>
        <v>568 02</v>
      </c>
      <c r="F298" t="s">
        <v>4138</v>
      </c>
      <c r="G298" t="s">
        <v>1294</v>
      </c>
      <c r="H298" t="s">
        <v>120</v>
      </c>
      <c r="I298" t="s">
        <v>125</v>
      </c>
    </row>
    <row r="299" spans="1:9" x14ac:dyDescent="0.25">
      <c r="A299" s="4" t="str">
        <f>"696"</f>
        <v>696</v>
      </c>
      <c r="B299" s="4" t="s">
        <v>4163</v>
      </c>
      <c r="C299" t="s">
        <v>4164</v>
      </c>
      <c r="D299" t="s">
        <v>4165</v>
      </c>
      <c r="E299" t="str">
        <f>"569 04"</f>
        <v>569 04</v>
      </c>
      <c r="F299" t="s">
        <v>4166</v>
      </c>
      <c r="G299" t="s">
        <v>1294</v>
      </c>
      <c r="H299" t="s">
        <v>120</v>
      </c>
      <c r="I299" t="s">
        <v>125</v>
      </c>
    </row>
    <row r="300" spans="1:9" x14ac:dyDescent="0.25">
      <c r="A300" s="4" t="str">
        <f>"2214"</f>
        <v>2214</v>
      </c>
      <c r="B300" s="4" t="s">
        <v>4167</v>
      </c>
      <c r="C300" t="s">
        <v>4168</v>
      </c>
      <c r="D300" t="s">
        <v>4169</v>
      </c>
      <c r="E300" t="str">
        <f>"569 51"</f>
        <v>569 51</v>
      </c>
      <c r="F300" t="s">
        <v>4170</v>
      </c>
      <c r="G300" t="s">
        <v>1294</v>
      </c>
      <c r="H300" t="s">
        <v>120</v>
      </c>
      <c r="I300" t="s">
        <v>125</v>
      </c>
    </row>
    <row r="301" spans="1:9" x14ac:dyDescent="0.25">
      <c r="A301" s="4" t="str">
        <f>"1562"</f>
        <v>1562</v>
      </c>
      <c r="B301" s="4" t="s">
        <v>4171</v>
      </c>
      <c r="C301" t="s">
        <v>4172</v>
      </c>
      <c r="D301" t="s">
        <v>4173</v>
      </c>
      <c r="E301" t="str">
        <f>"569 12"</f>
        <v>569 12</v>
      </c>
      <c r="F301" t="s">
        <v>4174</v>
      </c>
      <c r="G301" t="s">
        <v>1294</v>
      </c>
      <c r="H301" t="s">
        <v>120</v>
      </c>
      <c r="I301" t="s">
        <v>125</v>
      </c>
    </row>
    <row r="302" spans="1:9" x14ac:dyDescent="0.25">
      <c r="A302" s="4" t="str">
        <f>"795"</f>
        <v>795</v>
      </c>
      <c r="B302" s="4" t="s">
        <v>216</v>
      </c>
      <c r="C302" t="s">
        <v>217</v>
      </c>
      <c r="D302" t="s">
        <v>218</v>
      </c>
      <c r="E302" t="str">
        <f>"250 65"</f>
        <v>250 65</v>
      </c>
      <c r="F302" t="s">
        <v>219</v>
      </c>
      <c r="G302" t="s">
        <v>201</v>
      </c>
      <c r="H302" t="s">
        <v>120</v>
      </c>
      <c r="I302" t="s">
        <v>125</v>
      </c>
    </row>
    <row r="303" spans="1:9" x14ac:dyDescent="0.25">
      <c r="A303" s="4" t="str">
        <f>"2085"</f>
        <v>2085</v>
      </c>
      <c r="B303" s="4" t="s">
        <v>220</v>
      </c>
      <c r="C303" t="s">
        <v>221</v>
      </c>
      <c r="D303" t="s">
        <v>222</v>
      </c>
      <c r="E303" t="str">
        <f>"251 68"</f>
        <v>251 68</v>
      </c>
      <c r="F303" t="s">
        <v>223</v>
      </c>
      <c r="G303" t="s">
        <v>201</v>
      </c>
      <c r="H303" t="s">
        <v>120</v>
      </c>
      <c r="I303" t="s">
        <v>125</v>
      </c>
    </row>
    <row r="304" spans="1:9" x14ac:dyDescent="0.25">
      <c r="A304" s="4" t="str">
        <f>"461"</f>
        <v>461</v>
      </c>
      <c r="B304" s="4" t="s">
        <v>224</v>
      </c>
      <c r="C304" t="s">
        <v>225</v>
      </c>
      <c r="D304" t="s">
        <v>226</v>
      </c>
      <c r="E304" t="str">
        <f>"250 67"</f>
        <v>250 67</v>
      </c>
      <c r="F304" t="s">
        <v>227</v>
      </c>
      <c r="G304" t="s">
        <v>201</v>
      </c>
      <c r="H304" t="s">
        <v>120</v>
      </c>
      <c r="I304" t="s">
        <v>125</v>
      </c>
    </row>
    <row r="305" spans="1:9" x14ac:dyDescent="0.25">
      <c r="A305" s="4" t="str">
        <f>"255"</f>
        <v>255</v>
      </c>
      <c r="B305" s="4" t="s">
        <v>228</v>
      </c>
      <c r="C305" t="s">
        <v>229</v>
      </c>
      <c r="D305" t="s">
        <v>230</v>
      </c>
      <c r="E305" t="str">
        <f>"251 64"</f>
        <v>251 64</v>
      </c>
      <c r="F305" t="s">
        <v>231</v>
      </c>
      <c r="G305" t="s">
        <v>201</v>
      </c>
      <c r="H305" t="s">
        <v>120</v>
      </c>
      <c r="I305" t="s">
        <v>125</v>
      </c>
    </row>
    <row r="306" spans="1:9" x14ac:dyDescent="0.25">
      <c r="A306" s="4" t="str">
        <f>"1526"</f>
        <v>1526</v>
      </c>
      <c r="B306" s="4" t="s">
        <v>236</v>
      </c>
      <c r="C306" t="s">
        <v>237</v>
      </c>
      <c r="D306" t="s">
        <v>238</v>
      </c>
      <c r="E306" t="str">
        <f>"251 69"</f>
        <v>251 69</v>
      </c>
      <c r="F306" t="s">
        <v>239</v>
      </c>
      <c r="G306" t="s">
        <v>201</v>
      </c>
      <c r="H306" t="s">
        <v>120</v>
      </c>
      <c r="I306" t="s">
        <v>125</v>
      </c>
    </row>
    <row r="307" spans="1:9" x14ac:dyDescent="0.25">
      <c r="A307" s="4" t="str">
        <f>"2010"</f>
        <v>2010</v>
      </c>
      <c r="B307" s="4" t="s">
        <v>240</v>
      </c>
      <c r="C307" t="s">
        <v>241</v>
      </c>
      <c r="D307" t="s">
        <v>242</v>
      </c>
      <c r="E307" t="str">
        <f>"252 31"</f>
        <v>252 31</v>
      </c>
      <c r="F307" t="s">
        <v>243</v>
      </c>
      <c r="G307" t="s">
        <v>201</v>
      </c>
      <c r="H307" t="s">
        <v>120</v>
      </c>
      <c r="I307" t="s">
        <v>125</v>
      </c>
    </row>
    <row r="308" spans="1:9" x14ac:dyDescent="0.25">
      <c r="A308" s="4" t="str">
        <f>"2031"</f>
        <v>2031</v>
      </c>
      <c r="B308" s="4" t="s">
        <v>244</v>
      </c>
      <c r="C308" t="s">
        <v>217</v>
      </c>
      <c r="D308" t="s">
        <v>245</v>
      </c>
      <c r="E308" t="str">
        <f>"252 42"</f>
        <v>252 42</v>
      </c>
      <c r="F308" t="s">
        <v>246</v>
      </c>
      <c r="G308" t="s">
        <v>201</v>
      </c>
      <c r="H308" t="s">
        <v>120</v>
      </c>
      <c r="I308" t="s">
        <v>125</v>
      </c>
    </row>
    <row r="309" spans="1:9" x14ac:dyDescent="0.25">
      <c r="A309" s="4" t="str">
        <f>"5410/2003"</f>
        <v>5410/2003</v>
      </c>
      <c r="B309" s="4" t="s">
        <v>247</v>
      </c>
      <c r="C309" t="s">
        <v>248</v>
      </c>
      <c r="D309" t="s">
        <v>249</v>
      </c>
      <c r="E309" t="str">
        <f>"251 01"</f>
        <v>251 01</v>
      </c>
      <c r="F309" t="s">
        <v>250</v>
      </c>
      <c r="G309" t="s">
        <v>201</v>
      </c>
      <c r="H309" t="s">
        <v>120</v>
      </c>
      <c r="I309" t="s">
        <v>125</v>
      </c>
    </row>
    <row r="310" spans="1:9" x14ac:dyDescent="0.25">
      <c r="A310" s="4" t="str">
        <f>"1143"</f>
        <v>1143</v>
      </c>
      <c r="B310" s="4" t="s">
        <v>251</v>
      </c>
      <c r="C310" t="s">
        <v>252</v>
      </c>
      <c r="D310" t="s">
        <v>253</v>
      </c>
      <c r="E310" t="str">
        <f>"251 62"</f>
        <v>251 62</v>
      </c>
      <c r="F310" t="s">
        <v>254</v>
      </c>
      <c r="G310" t="s">
        <v>201</v>
      </c>
      <c r="H310" t="s">
        <v>120</v>
      </c>
      <c r="I310" t="s">
        <v>125</v>
      </c>
    </row>
    <row r="311" spans="1:9" x14ac:dyDescent="0.25">
      <c r="A311" s="4" t="str">
        <f>"6522"</f>
        <v>6522</v>
      </c>
      <c r="B311" s="4" t="s">
        <v>255</v>
      </c>
      <c r="C311" t="s">
        <v>256</v>
      </c>
      <c r="D311" t="s">
        <v>257</v>
      </c>
      <c r="E311" t="str">
        <f>"250 84"</f>
        <v>250 84</v>
      </c>
      <c r="F311" t="s">
        <v>258</v>
      </c>
      <c r="G311" t="s">
        <v>201</v>
      </c>
      <c r="H311" t="s">
        <v>120</v>
      </c>
      <c r="I311" t="s">
        <v>125</v>
      </c>
    </row>
    <row r="312" spans="1:9" x14ac:dyDescent="0.25">
      <c r="A312" s="4" t="str">
        <f>"16"</f>
        <v>16</v>
      </c>
      <c r="B312" s="4" t="s">
        <v>259</v>
      </c>
      <c r="C312" t="s">
        <v>260</v>
      </c>
      <c r="D312" t="s">
        <v>261</v>
      </c>
      <c r="E312" t="str">
        <f>"251 65"</f>
        <v>251 65</v>
      </c>
      <c r="F312" t="s">
        <v>262</v>
      </c>
      <c r="G312" t="s">
        <v>201</v>
      </c>
      <c r="H312" t="s">
        <v>120</v>
      </c>
      <c r="I312" t="s">
        <v>125</v>
      </c>
    </row>
    <row r="313" spans="1:9" x14ac:dyDescent="0.25">
      <c r="A313" s="4" t="str">
        <f>"471"</f>
        <v>471</v>
      </c>
      <c r="B313" s="4" t="s">
        <v>263</v>
      </c>
      <c r="C313" t="s">
        <v>264</v>
      </c>
      <c r="D313" t="s">
        <v>265</v>
      </c>
      <c r="E313" t="str">
        <f>"251 62"</f>
        <v>251 62</v>
      </c>
      <c r="F313" t="s">
        <v>266</v>
      </c>
      <c r="G313" t="s">
        <v>201</v>
      </c>
      <c r="H313" t="s">
        <v>120</v>
      </c>
      <c r="I313" t="s">
        <v>125</v>
      </c>
    </row>
    <row r="314" spans="1:9" x14ac:dyDescent="0.25">
      <c r="A314" s="4" t="str">
        <f>"576"</f>
        <v>576</v>
      </c>
      <c r="B314" s="4" t="s">
        <v>267</v>
      </c>
      <c r="C314" t="s">
        <v>268</v>
      </c>
      <c r="D314" t="s">
        <v>269</v>
      </c>
      <c r="E314" t="str">
        <f>"251 66"</f>
        <v>251 66</v>
      </c>
      <c r="F314" t="s">
        <v>270</v>
      </c>
      <c r="G314" t="s">
        <v>201</v>
      </c>
      <c r="H314" t="s">
        <v>120</v>
      </c>
      <c r="I314" t="s">
        <v>125</v>
      </c>
    </row>
    <row r="315" spans="1:9" x14ac:dyDescent="0.25">
      <c r="A315" s="4" t="str">
        <f>"1016"</f>
        <v>1016</v>
      </c>
      <c r="B315" s="4" t="s">
        <v>271</v>
      </c>
      <c r="C315" t="s">
        <v>272</v>
      </c>
      <c r="D315" t="s">
        <v>273</v>
      </c>
      <c r="E315" t="str">
        <f>"250 87"</f>
        <v>250 87</v>
      </c>
      <c r="F315" t="s">
        <v>274</v>
      </c>
      <c r="G315" t="s">
        <v>201</v>
      </c>
      <c r="H315" t="s">
        <v>120</v>
      </c>
      <c r="I315" t="s">
        <v>125</v>
      </c>
    </row>
    <row r="316" spans="1:9" x14ac:dyDescent="0.25">
      <c r="A316" s="4" t="str">
        <f>"1240"</f>
        <v>1240</v>
      </c>
      <c r="B316" s="4" t="s">
        <v>275</v>
      </c>
      <c r="C316" t="s">
        <v>276</v>
      </c>
      <c r="D316" t="s">
        <v>277</v>
      </c>
      <c r="E316" t="str">
        <f>"251 01"</f>
        <v>251 01</v>
      </c>
      <c r="F316" t="s">
        <v>278</v>
      </c>
      <c r="G316" t="s">
        <v>201</v>
      </c>
      <c r="H316" t="s">
        <v>120</v>
      </c>
      <c r="I316" t="s">
        <v>125</v>
      </c>
    </row>
    <row r="317" spans="1:9" x14ac:dyDescent="0.25">
      <c r="A317" s="4" t="str">
        <f>"1267"</f>
        <v>1267</v>
      </c>
      <c r="B317" s="4" t="s">
        <v>279</v>
      </c>
      <c r="C317" t="s">
        <v>280</v>
      </c>
      <c r="D317" t="s">
        <v>281</v>
      </c>
      <c r="E317" t="str">
        <f>"251 65"</f>
        <v>251 65</v>
      </c>
      <c r="F317" t="s">
        <v>282</v>
      </c>
      <c r="G317" t="s">
        <v>201</v>
      </c>
      <c r="H317" t="s">
        <v>120</v>
      </c>
      <c r="I317" t="s">
        <v>125</v>
      </c>
    </row>
    <row r="318" spans="1:9" x14ac:dyDescent="0.25">
      <c r="A318" s="4" t="str">
        <f>"1885"</f>
        <v>1885</v>
      </c>
      <c r="B318" s="4" t="s">
        <v>283</v>
      </c>
      <c r="C318" t="s">
        <v>284</v>
      </c>
      <c r="D318" t="s">
        <v>285</v>
      </c>
      <c r="E318" t="str">
        <f>"250 87"</f>
        <v>250 87</v>
      </c>
      <c r="F318" t="s">
        <v>286</v>
      </c>
      <c r="G318" t="s">
        <v>201</v>
      </c>
      <c r="H318" t="s">
        <v>120</v>
      </c>
      <c r="I318" t="s">
        <v>125</v>
      </c>
    </row>
    <row r="319" spans="1:9" x14ac:dyDescent="0.25">
      <c r="A319" s="4" t="str">
        <f>"2505"</f>
        <v>2505</v>
      </c>
      <c r="B319" s="4" t="s">
        <v>287</v>
      </c>
      <c r="C319" t="s">
        <v>288</v>
      </c>
      <c r="D319" t="s">
        <v>289</v>
      </c>
      <c r="E319" t="str">
        <f>"250 70"</f>
        <v>250 70</v>
      </c>
      <c r="F319" t="s">
        <v>290</v>
      </c>
      <c r="G319" t="s">
        <v>201</v>
      </c>
      <c r="H319" t="s">
        <v>120</v>
      </c>
      <c r="I319" t="s">
        <v>125</v>
      </c>
    </row>
    <row r="320" spans="1:9" x14ac:dyDescent="0.25">
      <c r="A320" s="4" t="str">
        <f>"2990"</f>
        <v>2990</v>
      </c>
      <c r="B320" s="4" t="s">
        <v>291</v>
      </c>
      <c r="C320" t="s">
        <v>292</v>
      </c>
      <c r="D320" t="s">
        <v>293</v>
      </c>
      <c r="E320" t="str">
        <f>"250 63"</f>
        <v>250 63</v>
      </c>
      <c r="F320" t="s">
        <v>294</v>
      </c>
      <c r="G320" t="s">
        <v>201</v>
      </c>
      <c r="H320" t="s">
        <v>120</v>
      </c>
      <c r="I320" t="s">
        <v>125</v>
      </c>
    </row>
    <row r="321" spans="1:9" x14ac:dyDescent="0.25">
      <c r="A321" s="4" t="str">
        <f>"3023"</f>
        <v>3023</v>
      </c>
      <c r="B321" s="4" t="s">
        <v>295</v>
      </c>
      <c r="C321" t="s">
        <v>296</v>
      </c>
      <c r="D321" t="s">
        <v>297</v>
      </c>
      <c r="E321" t="str">
        <f>"250 81"</f>
        <v>250 81</v>
      </c>
      <c r="F321" t="s">
        <v>298</v>
      </c>
      <c r="G321" t="s">
        <v>201</v>
      </c>
      <c r="H321" t="s">
        <v>120</v>
      </c>
      <c r="I321" t="s">
        <v>125</v>
      </c>
    </row>
    <row r="322" spans="1:9" x14ac:dyDescent="0.25">
      <c r="A322" s="4" t="str">
        <f>"3167"</f>
        <v>3167</v>
      </c>
      <c r="B322" s="4" t="s">
        <v>299</v>
      </c>
      <c r="C322" t="s">
        <v>300</v>
      </c>
      <c r="D322" t="s">
        <v>301</v>
      </c>
      <c r="E322" t="str">
        <f>"250 69"</f>
        <v>250 69</v>
      </c>
      <c r="F322" t="s">
        <v>302</v>
      </c>
      <c r="G322" t="s">
        <v>201</v>
      </c>
      <c r="H322" t="s">
        <v>120</v>
      </c>
      <c r="I322" t="s">
        <v>125</v>
      </c>
    </row>
    <row r="323" spans="1:9" x14ac:dyDescent="0.25">
      <c r="A323" s="4" t="str">
        <f>"3250"</f>
        <v>3250</v>
      </c>
      <c r="B323" s="4" t="s">
        <v>303</v>
      </c>
      <c r="C323" t="s">
        <v>304</v>
      </c>
      <c r="D323" t="s">
        <v>305</v>
      </c>
      <c r="E323" t="str">
        <f>"250 64"</f>
        <v>250 64</v>
      </c>
      <c r="F323" t="s">
        <v>306</v>
      </c>
      <c r="G323" t="s">
        <v>201</v>
      </c>
      <c r="H323" t="s">
        <v>120</v>
      </c>
      <c r="I323" t="s">
        <v>125</v>
      </c>
    </row>
    <row r="324" spans="1:9" x14ac:dyDescent="0.25">
      <c r="A324" s="4" t="str">
        <f>"3279"</f>
        <v>3279</v>
      </c>
      <c r="B324" s="4" t="s">
        <v>307</v>
      </c>
      <c r="C324" t="s">
        <v>308</v>
      </c>
      <c r="D324" t="s">
        <v>309</v>
      </c>
      <c r="E324" t="str">
        <f>"250 72"</f>
        <v>250 72</v>
      </c>
      <c r="F324" t="s">
        <v>310</v>
      </c>
      <c r="G324" t="s">
        <v>201</v>
      </c>
      <c r="H324" t="s">
        <v>120</v>
      </c>
      <c r="I324" t="s">
        <v>125</v>
      </c>
    </row>
    <row r="325" spans="1:9" x14ac:dyDescent="0.25">
      <c r="A325" s="4" t="str">
        <f>"3360"</f>
        <v>3360</v>
      </c>
      <c r="B325" s="4" t="s">
        <v>311</v>
      </c>
      <c r="C325" t="s">
        <v>312</v>
      </c>
      <c r="D325" t="s">
        <v>313</v>
      </c>
      <c r="E325" t="str">
        <f>"250 72"</f>
        <v>250 72</v>
      </c>
      <c r="F325" t="s">
        <v>314</v>
      </c>
      <c r="G325" t="s">
        <v>201</v>
      </c>
      <c r="H325" t="s">
        <v>120</v>
      </c>
      <c r="I325" t="s">
        <v>125</v>
      </c>
    </row>
    <row r="326" spans="1:9" x14ac:dyDescent="0.25">
      <c r="A326" s="4" t="str">
        <f>"3590"</f>
        <v>3590</v>
      </c>
      <c r="B326" s="4" t="s">
        <v>315</v>
      </c>
      <c r="C326" t="s">
        <v>316</v>
      </c>
      <c r="D326" t="s">
        <v>317</v>
      </c>
      <c r="E326" t="str">
        <f>"251 62"</f>
        <v>251 62</v>
      </c>
      <c r="F326" t="s">
        <v>318</v>
      </c>
      <c r="G326" t="s">
        <v>201</v>
      </c>
      <c r="H326" t="s">
        <v>120</v>
      </c>
      <c r="I326" t="s">
        <v>125</v>
      </c>
    </row>
    <row r="327" spans="1:9" x14ac:dyDescent="0.25">
      <c r="A327" s="4" t="str">
        <f>"3869"</f>
        <v>3869</v>
      </c>
      <c r="B327" s="4" t="s">
        <v>319</v>
      </c>
      <c r="C327" t="s">
        <v>320</v>
      </c>
      <c r="D327" t="s">
        <v>321</v>
      </c>
      <c r="E327" t="str">
        <f>"251 66"</f>
        <v>251 66</v>
      </c>
      <c r="F327" t="s">
        <v>322</v>
      </c>
      <c r="G327" t="s">
        <v>201</v>
      </c>
      <c r="H327" t="s">
        <v>120</v>
      </c>
      <c r="I327" t="s">
        <v>125</v>
      </c>
    </row>
    <row r="328" spans="1:9" x14ac:dyDescent="0.25">
      <c r="A328" s="4" t="str">
        <f>"3972"</f>
        <v>3972</v>
      </c>
      <c r="B328" s="4" t="s">
        <v>323</v>
      </c>
      <c r="C328" t="s">
        <v>324</v>
      </c>
      <c r="D328" t="s">
        <v>325</v>
      </c>
      <c r="E328" t="str">
        <f>"250 73"</f>
        <v>250 73</v>
      </c>
      <c r="F328" t="s">
        <v>326</v>
      </c>
      <c r="G328" t="s">
        <v>201</v>
      </c>
      <c r="H328" t="s">
        <v>120</v>
      </c>
      <c r="I328" t="s">
        <v>125</v>
      </c>
    </row>
    <row r="329" spans="1:9" x14ac:dyDescent="0.25">
      <c r="A329" s="4" t="str">
        <f>"3973"</f>
        <v>3973</v>
      </c>
      <c r="B329" s="4" t="s">
        <v>327</v>
      </c>
      <c r="C329" t="s">
        <v>328</v>
      </c>
      <c r="D329" t="s">
        <v>329</v>
      </c>
      <c r="E329" t="str">
        <f>"250 89"</f>
        <v>250 89</v>
      </c>
      <c r="F329" t="s">
        <v>330</v>
      </c>
      <c r="G329" t="s">
        <v>201</v>
      </c>
      <c r="H329" t="s">
        <v>120</v>
      </c>
      <c r="I329" t="s">
        <v>125</v>
      </c>
    </row>
    <row r="330" spans="1:9" x14ac:dyDescent="0.25">
      <c r="A330" s="4" t="str">
        <f>"3974"</f>
        <v>3974</v>
      </c>
      <c r="B330" s="4" t="s">
        <v>331</v>
      </c>
      <c r="C330" t="s">
        <v>332</v>
      </c>
      <c r="D330" t="s">
        <v>333</v>
      </c>
      <c r="E330" t="str">
        <f>"250 01"</f>
        <v>250 01</v>
      </c>
      <c r="F330" t="s">
        <v>334</v>
      </c>
      <c r="G330" t="s">
        <v>201</v>
      </c>
      <c r="H330" t="s">
        <v>120</v>
      </c>
      <c r="I330" t="s">
        <v>125</v>
      </c>
    </row>
    <row r="331" spans="1:9" x14ac:dyDescent="0.25">
      <c r="A331" s="4" t="str">
        <f>"4047"</f>
        <v>4047</v>
      </c>
      <c r="B331" s="4" t="s">
        <v>335</v>
      </c>
      <c r="C331" t="s">
        <v>336</v>
      </c>
      <c r="D331" t="s">
        <v>337</v>
      </c>
      <c r="E331" t="str">
        <f>"251 68"</f>
        <v>251 68</v>
      </c>
      <c r="F331" t="s">
        <v>338</v>
      </c>
      <c r="G331" t="s">
        <v>201</v>
      </c>
      <c r="H331" t="s">
        <v>120</v>
      </c>
      <c r="I331" t="s">
        <v>125</v>
      </c>
    </row>
    <row r="332" spans="1:9" x14ac:dyDescent="0.25">
      <c r="A332" s="4" t="str">
        <f>"4108"</f>
        <v>4108</v>
      </c>
      <c r="B332" s="4" t="s">
        <v>339</v>
      </c>
      <c r="C332" t="s">
        <v>340</v>
      </c>
      <c r="D332" t="s">
        <v>341</v>
      </c>
      <c r="E332" t="str">
        <f>"250 69"</f>
        <v>250 69</v>
      </c>
      <c r="F332" t="s">
        <v>342</v>
      </c>
      <c r="G332" t="s">
        <v>201</v>
      </c>
      <c r="H332" t="s">
        <v>120</v>
      </c>
      <c r="I332" t="s">
        <v>125</v>
      </c>
    </row>
    <row r="333" spans="1:9" x14ac:dyDescent="0.25">
      <c r="A333" s="4" t="str">
        <f>"4113"</f>
        <v>4113</v>
      </c>
      <c r="B333" s="4" t="s">
        <v>343</v>
      </c>
      <c r="C333" t="s">
        <v>344</v>
      </c>
      <c r="D333" t="s">
        <v>345</v>
      </c>
      <c r="E333" t="str">
        <f>"250 63"</f>
        <v>250 63</v>
      </c>
      <c r="F333" t="s">
        <v>346</v>
      </c>
      <c r="G333" t="s">
        <v>201</v>
      </c>
      <c r="H333" t="s">
        <v>120</v>
      </c>
      <c r="I333" t="s">
        <v>125</v>
      </c>
    </row>
    <row r="334" spans="1:9" x14ac:dyDescent="0.25">
      <c r="A334" s="4" t="str">
        <f>"4129"</f>
        <v>4129</v>
      </c>
      <c r="B334" s="4" t="s">
        <v>347</v>
      </c>
      <c r="C334" t="s">
        <v>348</v>
      </c>
      <c r="D334" t="s">
        <v>349</v>
      </c>
      <c r="E334" t="str">
        <f>"251 68"</f>
        <v>251 68</v>
      </c>
      <c r="F334" t="s">
        <v>350</v>
      </c>
      <c r="G334" t="s">
        <v>201</v>
      </c>
      <c r="H334" t="s">
        <v>120</v>
      </c>
      <c r="I334" t="s">
        <v>125</v>
      </c>
    </row>
    <row r="335" spans="1:9" x14ac:dyDescent="0.25">
      <c r="A335" s="4" t="str">
        <f>"4140"</f>
        <v>4140</v>
      </c>
      <c r="B335" s="4" t="s">
        <v>351</v>
      </c>
      <c r="C335" t="s">
        <v>352</v>
      </c>
      <c r="D335" t="s">
        <v>353</v>
      </c>
      <c r="E335" t="str">
        <f>"250 01"</f>
        <v>250 01</v>
      </c>
      <c r="F335" t="s">
        <v>354</v>
      </c>
      <c r="G335" t="s">
        <v>201</v>
      </c>
      <c r="H335" t="s">
        <v>120</v>
      </c>
      <c r="I335" t="s">
        <v>125</v>
      </c>
    </row>
    <row r="336" spans="1:9" x14ac:dyDescent="0.25">
      <c r="A336" s="4" t="str">
        <f>"4298"</f>
        <v>4298</v>
      </c>
      <c r="B336" s="4" t="s">
        <v>355</v>
      </c>
      <c r="C336" t="s">
        <v>356</v>
      </c>
      <c r="D336" t="s">
        <v>357</v>
      </c>
      <c r="E336" t="str">
        <f>"250 91"</f>
        <v>250 91</v>
      </c>
      <c r="F336" t="s">
        <v>358</v>
      </c>
      <c r="G336" t="s">
        <v>201</v>
      </c>
      <c r="H336" t="s">
        <v>120</v>
      </c>
      <c r="I336" t="s">
        <v>125</v>
      </c>
    </row>
    <row r="337" spans="1:9" x14ac:dyDescent="0.25">
      <c r="A337" s="4" t="str">
        <f>"4527"</f>
        <v>4527</v>
      </c>
      <c r="B337" s="4" t="s">
        <v>359</v>
      </c>
      <c r="C337" t="s">
        <v>360</v>
      </c>
      <c r="D337" t="s">
        <v>361</v>
      </c>
      <c r="E337" t="str">
        <f>"250 90"</f>
        <v>250 90</v>
      </c>
      <c r="F337" t="s">
        <v>362</v>
      </c>
      <c r="G337" t="s">
        <v>201</v>
      </c>
      <c r="H337" t="s">
        <v>120</v>
      </c>
      <c r="I337" t="s">
        <v>125</v>
      </c>
    </row>
    <row r="338" spans="1:9" x14ac:dyDescent="0.25">
      <c r="A338" s="4" t="str">
        <f>"4528"</f>
        <v>4528</v>
      </c>
      <c r="B338" s="4" t="s">
        <v>363</v>
      </c>
      <c r="C338" t="s">
        <v>364</v>
      </c>
      <c r="D338" t="s">
        <v>365</v>
      </c>
      <c r="E338" t="str">
        <f>"250 90"</f>
        <v>250 90</v>
      </c>
      <c r="F338" t="s">
        <v>366</v>
      </c>
      <c r="G338" t="s">
        <v>201</v>
      </c>
      <c r="H338" t="s">
        <v>120</v>
      </c>
      <c r="I338" t="s">
        <v>125</v>
      </c>
    </row>
    <row r="339" spans="1:9" x14ac:dyDescent="0.25">
      <c r="A339" s="4" t="str">
        <f>"4530"</f>
        <v>4530</v>
      </c>
      <c r="B339" s="4" t="s">
        <v>367</v>
      </c>
      <c r="C339" t="s">
        <v>368</v>
      </c>
      <c r="D339" t="s">
        <v>369</v>
      </c>
      <c r="E339" t="str">
        <f>"250 83"</f>
        <v>250 83</v>
      </c>
      <c r="F339" t="s">
        <v>370</v>
      </c>
      <c r="G339" t="s">
        <v>201</v>
      </c>
      <c r="H339" t="s">
        <v>120</v>
      </c>
      <c r="I339" t="s">
        <v>125</v>
      </c>
    </row>
    <row r="340" spans="1:9" x14ac:dyDescent="0.25">
      <c r="A340" s="4" t="str">
        <f>"4764"</f>
        <v>4764</v>
      </c>
      <c r="B340" s="4" t="s">
        <v>371</v>
      </c>
      <c r="C340" t="s">
        <v>372</v>
      </c>
      <c r="D340" t="s">
        <v>373</v>
      </c>
      <c r="E340" t="str">
        <f>"251 01"</f>
        <v>251 01</v>
      </c>
      <c r="F340" t="s">
        <v>374</v>
      </c>
      <c r="G340" t="s">
        <v>201</v>
      </c>
      <c r="H340" t="s">
        <v>120</v>
      </c>
      <c r="I340" t="s">
        <v>125</v>
      </c>
    </row>
    <row r="341" spans="1:9" x14ac:dyDescent="0.25">
      <c r="A341" s="4" t="str">
        <f>"4865"</f>
        <v>4865</v>
      </c>
      <c r="B341" s="4" t="s">
        <v>375</v>
      </c>
      <c r="C341" t="s">
        <v>376</v>
      </c>
      <c r="D341" t="s">
        <v>377</v>
      </c>
      <c r="E341" t="str">
        <f>"250 73"</f>
        <v>250 73</v>
      </c>
      <c r="F341" t="s">
        <v>378</v>
      </c>
      <c r="G341" t="s">
        <v>201</v>
      </c>
      <c r="H341" t="s">
        <v>120</v>
      </c>
      <c r="I341" t="s">
        <v>125</v>
      </c>
    </row>
    <row r="342" spans="1:9" x14ac:dyDescent="0.25">
      <c r="A342" s="4" t="str">
        <f>"5042"</f>
        <v>5042</v>
      </c>
      <c r="B342" s="4" t="s">
        <v>379</v>
      </c>
      <c r="C342" t="s">
        <v>380</v>
      </c>
      <c r="D342" t="s">
        <v>381</v>
      </c>
      <c r="E342" t="str">
        <f>"250 63"</f>
        <v>250 63</v>
      </c>
      <c r="F342" t="s">
        <v>382</v>
      </c>
      <c r="G342" t="s">
        <v>201</v>
      </c>
      <c r="H342" t="s">
        <v>120</v>
      </c>
      <c r="I342" t="s">
        <v>125</v>
      </c>
    </row>
    <row r="343" spans="1:9" x14ac:dyDescent="0.25">
      <c r="A343" s="4" t="str">
        <f>"5071"</f>
        <v>5071</v>
      </c>
      <c r="B343" s="4" t="s">
        <v>383</v>
      </c>
      <c r="C343" t="s">
        <v>384</v>
      </c>
      <c r="D343" t="s">
        <v>385</v>
      </c>
      <c r="E343" t="str">
        <f>"251 01"</f>
        <v>251 01</v>
      </c>
      <c r="F343" t="s">
        <v>386</v>
      </c>
      <c r="G343" t="s">
        <v>201</v>
      </c>
      <c r="H343" t="s">
        <v>120</v>
      </c>
      <c r="I343" t="s">
        <v>125</v>
      </c>
    </row>
    <row r="344" spans="1:9" x14ac:dyDescent="0.25">
      <c r="A344" s="4" t="str">
        <f>"5119"</f>
        <v>5119</v>
      </c>
      <c r="B344" s="4" t="s">
        <v>387</v>
      </c>
      <c r="C344" t="s">
        <v>388</v>
      </c>
      <c r="D344" t="s">
        <v>389</v>
      </c>
      <c r="E344" t="str">
        <f>"250 73"</f>
        <v>250 73</v>
      </c>
      <c r="F344" t="s">
        <v>390</v>
      </c>
      <c r="G344" t="s">
        <v>201</v>
      </c>
      <c r="H344" t="s">
        <v>120</v>
      </c>
      <c r="I344" t="s">
        <v>125</v>
      </c>
    </row>
    <row r="345" spans="1:9" x14ac:dyDescent="0.25">
      <c r="A345" s="4" t="str">
        <f>"5125"</f>
        <v>5125</v>
      </c>
      <c r="B345" s="4" t="s">
        <v>391</v>
      </c>
      <c r="C345" t="s">
        <v>392</v>
      </c>
      <c r="D345" t="s">
        <v>393</v>
      </c>
      <c r="E345" t="str">
        <f>"250 65"</f>
        <v>250 65</v>
      </c>
      <c r="F345" t="s">
        <v>394</v>
      </c>
      <c r="G345" t="s">
        <v>201</v>
      </c>
      <c r="H345" t="s">
        <v>120</v>
      </c>
      <c r="I345" t="s">
        <v>125</v>
      </c>
    </row>
    <row r="346" spans="1:9" x14ac:dyDescent="0.25">
      <c r="A346" s="4" t="str">
        <f>"5130"</f>
        <v>5130</v>
      </c>
      <c r="B346" s="4" t="s">
        <v>395</v>
      </c>
      <c r="C346" t="s">
        <v>396</v>
      </c>
      <c r="D346" t="s">
        <v>397</v>
      </c>
      <c r="E346" t="str">
        <f>"250 67"</f>
        <v>250 67</v>
      </c>
      <c r="G346" t="s">
        <v>201</v>
      </c>
      <c r="H346" t="s">
        <v>120</v>
      </c>
      <c r="I346" t="s">
        <v>125</v>
      </c>
    </row>
    <row r="347" spans="1:9" x14ac:dyDescent="0.25">
      <c r="A347" s="4" t="str">
        <f>"5153"</f>
        <v>5153</v>
      </c>
      <c r="B347" s="4" t="s">
        <v>398</v>
      </c>
      <c r="C347" t="s">
        <v>399</v>
      </c>
      <c r="D347" t="s">
        <v>400</v>
      </c>
      <c r="E347" t="str">
        <f>"250 63"</f>
        <v>250 63</v>
      </c>
      <c r="F347" t="s">
        <v>401</v>
      </c>
      <c r="G347" t="s">
        <v>201</v>
      </c>
      <c r="H347" t="s">
        <v>120</v>
      </c>
      <c r="I347" t="s">
        <v>125</v>
      </c>
    </row>
    <row r="348" spans="1:9" x14ac:dyDescent="0.25">
      <c r="A348" s="4" t="str">
        <f>"5192"</f>
        <v>5192</v>
      </c>
      <c r="B348" s="4" t="s">
        <v>402</v>
      </c>
      <c r="C348" t="s">
        <v>403</v>
      </c>
      <c r="D348" t="s">
        <v>404</v>
      </c>
      <c r="E348" t="str">
        <f>"250 66"</f>
        <v>250 66</v>
      </c>
      <c r="F348" t="s">
        <v>405</v>
      </c>
      <c r="G348" t="s">
        <v>201</v>
      </c>
      <c r="H348" t="s">
        <v>120</v>
      </c>
      <c r="I348" t="s">
        <v>125</v>
      </c>
    </row>
    <row r="349" spans="1:9" x14ac:dyDescent="0.25">
      <c r="A349" s="4" t="str">
        <f>"5201"</f>
        <v>5201</v>
      </c>
      <c r="B349" s="4" t="s">
        <v>406</v>
      </c>
      <c r="C349" t="s">
        <v>407</v>
      </c>
      <c r="D349" t="s">
        <v>408</v>
      </c>
      <c r="E349" t="str">
        <f>"251 68"</f>
        <v>251 68</v>
      </c>
      <c r="F349" t="s">
        <v>409</v>
      </c>
      <c r="G349" t="s">
        <v>201</v>
      </c>
      <c r="H349" t="s">
        <v>120</v>
      </c>
      <c r="I349" t="s">
        <v>125</v>
      </c>
    </row>
    <row r="350" spans="1:9" x14ac:dyDescent="0.25">
      <c r="A350" s="4" t="str">
        <f>"5202"</f>
        <v>5202</v>
      </c>
      <c r="B350" s="4" t="s">
        <v>410</v>
      </c>
      <c r="C350" t="s">
        <v>411</v>
      </c>
      <c r="D350" t="s">
        <v>412</v>
      </c>
      <c r="E350" t="str">
        <f>"250 63"</f>
        <v>250 63</v>
      </c>
      <c r="F350" t="s">
        <v>413</v>
      </c>
      <c r="G350" t="s">
        <v>201</v>
      </c>
      <c r="H350" t="s">
        <v>120</v>
      </c>
      <c r="I350" t="s">
        <v>125</v>
      </c>
    </row>
    <row r="351" spans="1:9" x14ac:dyDescent="0.25">
      <c r="A351" s="4" t="str">
        <f>"5221"</f>
        <v>5221</v>
      </c>
      <c r="B351" s="4" t="s">
        <v>414</v>
      </c>
      <c r="C351" t="s">
        <v>415</v>
      </c>
      <c r="D351" t="s">
        <v>416</v>
      </c>
      <c r="E351" t="str">
        <f>"250 70"</f>
        <v>250 70</v>
      </c>
      <c r="F351" t="s">
        <v>417</v>
      </c>
      <c r="G351" t="s">
        <v>201</v>
      </c>
      <c r="H351" t="s">
        <v>120</v>
      </c>
      <c r="I351" t="s">
        <v>125</v>
      </c>
    </row>
    <row r="352" spans="1:9" x14ac:dyDescent="0.25">
      <c r="A352" s="4" t="str">
        <f>"5354"</f>
        <v>5354</v>
      </c>
      <c r="B352" s="4" t="s">
        <v>418</v>
      </c>
      <c r="C352" t="s">
        <v>419</v>
      </c>
      <c r="D352" t="s">
        <v>420</v>
      </c>
      <c r="E352" t="str">
        <f>"250 73"</f>
        <v>250 73</v>
      </c>
      <c r="F352" t="s">
        <v>421</v>
      </c>
      <c r="G352" t="s">
        <v>201</v>
      </c>
      <c r="H352" t="s">
        <v>120</v>
      </c>
      <c r="I352" t="s">
        <v>125</v>
      </c>
    </row>
    <row r="353" spans="1:9" x14ac:dyDescent="0.25">
      <c r="A353" s="4" t="str">
        <f>"5446"</f>
        <v>5446</v>
      </c>
      <c r="B353" s="4" t="s">
        <v>422</v>
      </c>
      <c r="C353" t="s">
        <v>423</v>
      </c>
      <c r="D353" t="s">
        <v>424</v>
      </c>
      <c r="E353" t="str">
        <f>"251 64"</f>
        <v>251 64</v>
      </c>
      <c r="F353" t="s">
        <v>425</v>
      </c>
      <c r="G353" t="s">
        <v>201</v>
      </c>
      <c r="H353" t="s">
        <v>120</v>
      </c>
      <c r="I353" t="s">
        <v>125</v>
      </c>
    </row>
    <row r="354" spans="1:9" x14ac:dyDescent="0.25">
      <c r="A354" s="4" t="str">
        <f>"5546"</f>
        <v>5546</v>
      </c>
      <c r="B354" s="4" t="s">
        <v>426</v>
      </c>
      <c r="C354" t="s">
        <v>427</v>
      </c>
      <c r="D354" t="s">
        <v>317</v>
      </c>
      <c r="E354" t="str">
        <f>"251 66"</f>
        <v>251 66</v>
      </c>
      <c r="F354" t="s">
        <v>428</v>
      </c>
      <c r="G354" t="s">
        <v>201</v>
      </c>
      <c r="H354" t="s">
        <v>120</v>
      </c>
      <c r="I354" t="s">
        <v>125</v>
      </c>
    </row>
    <row r="355" spans="1:9" x14ac:dyDescent="0.25">
      <c r="A355" s="4" t="str">
        <f>"5711"</f>
        <v>5711</v>
      </c>
      <c r="B355" s="4" t="s">
        <v>429</v>
      </c>
      <c r="C355" t="s">
        <v>430</v>
      </c>
      <c r="D355" t="s">
        <v>431</v>
      </c>
      <c r="E355" t="str">
        <f>"250 69"</f>
        <v>250 69</v>
      </c>
      <c r="F355" t="s">
        <v>432</v>
      </c>
      <c r="G355" t="s">
        <v>201</v>
      </c>
      <c r="H355" t="s">
        <v>120</v>
      </c>
      <c r="I355" t="s">
        <v>125</v>
      </c>
    </row>
    <row r="356" spans="1:9" x14ac:dyDescent="0.25">
      <c r="A356" s="4" t="str">
        <f>"6225"</f>
        <v>6225</v>
      </c>
      <c r="B356" s="4" t="s">
        <v>433</v>
      </c>
      <c r="C356" t="s">
        <v>434</v>
      </c>
      <c r="D356" t="s">
        <v>435</v>
      </c>
      <c r="E356" t="str">
        <f>"250 92"</f>
        <v>250 92</v>
      </c>
      <c r="F356" t="s">
        <v>436</v>
      </c>
      <c r="G356" t="s">
        <v>201</v>
      </c>
      <c r="H356" t="s">
        <v>120</v>
      </c>
      <c r="I356" t="s">
        <v>125</v>
      </c>
    </row>
    <row r="357" spans="1:9" x14ac:dyDescent="0.25">
      <c r="A357" s="4" t="str">
        <f>"6274"</f>
        <v>6274</v>
      </c>
      <c r="B357" s="4" t="s">
        <v>437</v>
      </c>
      <c r="C357" t="s">
        <v>438</v>
      </c>
      <c r="D357" t="s">
        <v>439</v>
      </c>
      <c r="E357" t="str">
        <f>"250 64"</f>
        <v>250 64</v>
      </c>
      <c r="F357" t="s">
        <v>440</v>
      </c>
      <c r="G357" t="s">
        <v>201</v>
      </c>
      <c r="H357" t="s">
        <v>120</v>
      </c>
      <c r="I357" t="s">
        <v>125</v>
      </c>
    </row>
    <row r="358" spans="1:9" x14ac:dyDescent="0.25">
      <c r="A358" s="4" t="str">
        <f>"6326"</f>
        <v>6326</v>
      </c>
      <c r="B358" s="4" t="s">
        <v>441</v>
      </c>
      <c r="C358" t="s">
        <v>442</v>
      </c>
      <c r="D358" t="s">
        <v>443</v>
      </c>
      <c r="E358" t="str">
        <f>"294 76"</f>
        <v>294 76</v>
      </c>
      <c r="F358" t="s">
        <v>444</v>
      </c>
      <c r="G358" t="s">
        <v>201</v>
      </c>
      <c r="H358" t="s">
        <v>120</v>
      </c>
      <c r="I358" t="s">
        <v>125</v>
      </c>
    </row>
    <row r="359" spans="1:9" x14ac:dyDescent="0.25">
      <c r="A359" s="4" t="str">
        <f>"6365"</f>
        <v>6365</v>
      </c>
      <c r="B359" s="4" t="s">
        <v>445</v>
      </c>
      <c r="C359" t="s">
        <v>446</v>
      </c>
      <c r="D359" t="s">
        <v>447</v>
      </c>
      <c r="E359" t="str">
        <f>"250 75"</f>
        <v>250 75</v>
      </c>
      <c r="F359" t="s">
        <v>448</v>
      </c>
      <c r="G359" t="s">
        <v>201</v>
      </c>
      <c r="H359" t="s">
        <v>120</v>
      </c>
      <c r="I359" t="s">
        <v>125</v>
      </c>
    </row>
    <row r="360" spans="1:9" x14ac:dyDescent="0.25">
      <c r="A360" s="4" t="str">
        <f>"6431"</f>
        <v>6431</v>
      </c>
      <c r="B360" s="4" t="s">
        <v>449</v>
      </c>
      <c r="C360" t="s">
        <v>450</v>
      </c>
      <c r="D360" t="s">
        <v>451</v>
      </c>
      <c r="E360" t="str">
        <f>"250 68"</f>
        <v>250 68</v>
      </c>
      <c r="F360" t="s">
        <v>452</v>
      </c>
      <c r="G360" t="s">
        <v>201</v>
      </c>
      <c r="H360" t="s">
        <v>120</v>
      </c>
      <c r="I360" t="s">
        <v>125</v>
      </c>
    </row>
    <row r="361" spans="1:9" x14ac:dyDescent="0.25">
      <c r="A361" s="4" t="str">
        <f>"6293"</f>
        <v>6293</v>
      </c>
      <c r="B361" s="4" t="s">
        <v>453</v>
      </c>
      <c r="C361" t="s">
        <v>454</v>
      </c>
      <c r="D361" t="s">
        <v>455</v>
      </c>
      <c r="E361" t="str">
        <f>"294 74"</f>
        <v>294 74</v>
      </c>
      <c r="F361" t="s">
        <v>456</v>
      </c>
      <c r="G361" t="s">
        <v>201</v>
      </c>
      <c r="H361" t="s">
        <v>120</v>
      </c>
      <c r="I361" t="s">
        <v>125</v>
      </c>
    </row>
    <row r="362" spans="1:9" x14ac:dyDescent="0.25">
      <c r="A362" s="4" t="str">
        <f>"1551"</f>
        <v>1551</v>
      </c>
      <c r="B362" s="4" t="s">
        <v>457</v>
      </c>
      <c r="C362" t="s">
        <v>458</v>
      </c>
      <c r="D362" t="s">
        <v>459</v>
      </c>
      <c r="E362" t="str">
        <f>"252 10"</f>
        <v>252 10</v>
      </c>
      <c r="F362" t="s">
        <v>460</v>
      </c>
      <c r="G362" t="s">
        <v>201</v>
      </c>
      <c r="H362" t="s">
        <v>120</v>
      </c>
      <c r="I362" t="s">
        <v>125</v>
      </c>
    </row>
    <row r="363" spans="1:9" x14ac:dyDescent="0.25">
      <c r="A363" s="4" t="str">
        <f>"1891"</f>
        <v>1891</v>
      </c>
      <c r="B363" s="4" t="s">
        <v>461</v>
      </c>
      <c r="C363" t="s">
        <v>462</v>
      </c>
      <c r="D363" t="s">
        <v>463</v>
      </c>
      <c r="E363" t="str">
        <f>"252 82"</f>
        <v>252 82</v>
      </c>
      <c r="F363" t="s">
        <v>464</v>
      </c>
      <c r="G363" t="s">
        <v>201</v>
      </c>
      <c r="H363" t="s">
        <v>120</v>
      </c>
      <c r="I363" t="s">
        <v>125</v>
      </c>
    </row>
    <row r="364" spans="1:9" x14ac:dyDescent="0.25">
      <c r="A364" s="4" t="str">
        <f>"2381"</f>
        <v>2381</v>
      </c>
      <c r="B364" s="4" t="s">
        <v>465</v>
      </c>
      <c r="C364" t="s">
        <v>466</v>
      </c>
      <c r="D364" t="s">
        <v>467</v>
      </c>
      <c r="E364" t="str">
        <f>"252 05"</f>
        <v>252 05</v>
      </c>
      <c r="F364" t="s">
        <v>468</v>
      </c>
      <c r="G364" t="s">
        <v>201</v>
      </c>
      <c r="H364" t="s">
        <v>120</v>
      </c>
      <c r="I364" t="s">
        <v>125</v>
      </c>
    </row>
    <row r="365" spans="1:9" x14ac:dyDescent="0.25">
      <c r="A365" s="4" t="str">
        <f>"4235"</f>
        <v>4235</v>
      </c>
      <c r="B365" s="4" t="s">
        <v>469</v>
      </c>
      <c r="C365" t="s">
        <v>470</v>
      </c>
      <c r="D365" t="s">
        <v>471</v>
      </c>
      <c r="E365" t="str">
        <f>"252 10"</f>
        <v>252 10</v>
      </c>
      <c r="F365" t="s">
        <v>472</v>
      </c>
      <c r="G365" t="s">
        <v>201</v>
      </c>
      <c r="H365" t="s">
        <v>120</v>
      </c>
      <c r="I365" t="s">
        <v>125</v>
      </c>
    </row>
    <row r="366" spans="1:9" x14ac:dyDescent="0.25">
      <c r="A366" s="4" t="str">
        <f>"4332"</f>
        <v>4332</v>
      </c>
      <c r="B366" s="4" t="s">
        <v>473</v>
      </c>
      <c r="C366" t="s">
        <v>474</v>
      </c>
      <c r="D366" t="s">
        <v>475</v>
      </c>
      <c r="E366" t="str">
        <f>"252 07"</f>
        <v>252 07</v>
      </c>
      <c r="F366" t="s">
        <v>476</v>
      </c>
      <c r="G366" t="s">
        <v>201</v>
      </c>
      <c r="H366" t="s">
        <v>120</v>
      </c>
      <c r="I366" t="s">
        <v>125</v>
      </c>
    </row>
    <row r="367" spans="1:9" x14ac:dyDescent="0.25">
      <c r="A367" s="4" t="str">
        <f>"4533"</f>
        <v>4533</v>
      </c>
      <c r="B367" s="4" t="s">
        <v>477</v>
      </c>
      <c r="C367" t="s">
        <v>478</v>
      </c>
      <c r="D367" t="s">
        <v>479</v>
      </c>
      <c r="E367" t="str">
        <f>"252 03"</f>
        <v>252 03</v>
      </c>
      <c r="F367" t="s">
        <v>480</v>
      </c>
      <c r="G367" t="s">
        <v>201</v>
      </c>
      <c r="H367" t="s">
        <v>120</v>
      </c>
      <c r="I367" t="s">
        <v>125</v>
      </c>
    </row>
    <row r="368" spans="1:9" x14ac:dyDescent="0.25">
      <c r="A368" s="4" t="str">
        <f>"4566"</f>
        <v>4566</v>
      </c>
      <c r="B368" s="4" t="s">
        <v>481</v>
      </c>
      <c r="C368" t="s">
        <v>482</v>
      </c>
      <c r="D368" t="s">
        <v>483</v>
      </c>
      <c r="E368" t="str">
        <f>"252 45"</f>
        <v>252 45</v>
      </c>
      <c r="F368" t="s">
        <v>484</v>
      </c>
      <c r="G368" t="s">
        <v>201</v>
      </c>
      <c r="H368" t="s">
        <v>120</v>
      </c>
      <c r="I368" t="s">
        <v>125</v>
      </c>
    </row>
    <row r="369" spans="1:9" x14ac:dyDescent="0.25">
      <c r="A369" s="4" t="str">
        <f>"4578"</f>
        <v>4578</v>
      </c>
      <c r="B369" s="4" t="s">
        <v>485</v>
      </c>
      <c r="C369" t="s">
        <v>486</v>
      </c>
      <c r="D369" t="s">
        <v>487</v>
      </c>
      <c r="E369" t="str">
        <f>"252 29"</f>
        <v>252 29</v>
      </c>
      <c r="F369" t="s">
        <v>488</v>
      </c>
      <c r="G369" t="s">
        <v>201</v>
      </c>
      <c r="H369" t="s">
        <v>120</v>
      </c>
      <c r="I369" t="s">
        <v>125</v>
      </c>
    </row>
    <row r="370" spans="1:9" x14ac:dyDescent="0.25">
      <c r="A370" s="4" t="str">
        <f>"4614"</f>
        <v>4614</v>
      </c>
      <c r="B370" s="4" t="s">
        <v>489</v>
      </c>
      <c r="C370" t="s">
        <v>490</v>
      </c>
      <c r="D370" t="s">
        <v>491</v>
      </c>
      <c r="E370" t="str">
        <f>"252 04"</f>
        <v>252 04</v>
      </c>
      <c r="F370" t="s">
        <v>492</v>
      </c>
      <c r="G370" t="s">
        <v>201</v>
      </c>
      <c r="H370" t="s">
        <v>120</v>
      </c>
      <c r="I370" t="s">
        <v>125</v>
      </c>
    </row>
    <row r="371" spans="1:9" x14ac:dyDescent="0.25">
      <c r="A371" s="4" t="str">
        <f>"4644"</f>
        <v>4644</v>
      </c>
      <c r="B371" s="4" t="s">
        <v>493</v>
      </c>
      <c r="C371" t="s">
        <v>494</v>
      </c>
      <c r="D371" t="s">
        <v>495</v>
      </c>
      <c r="E371" t="str">
        <f>"252 81"</f>
        <v>252 81</v>
      </c>
      <c r="F371" t="s">
        <v>496</v>
      </c>
      <c r="G371" t="s">
        <v>201</v>
      </c>
      <c r="H371" t="s">
        <v>120</v>
      </c>
      <c r="I371" t="s">
        <v>125</v>
      </c>
    </row>
    <row r="372" spans="1:9" x14ac:dyDescent="0.25">
      <c r="A372" s="4" t="str">
        <f>"4934"</f>
        <v>4934</v>
      </c>
      <c r="B372" s="4" t="s">
        <v>497</v>
      </c>
      <c r="C372" t="s">
        <v>498</v>
      </c>
      <c r="D372" t="s">
        <v>499</v>
      </c>
      <c r="E372" t="str">
        <f>"252 02"</f>
        <v>252 02</v>
      </c>
      <c r="F372" t="s">
        <v>500</v>
      </c>
      <c r="G372" t="s">
        <v>201</v>
      </c>
      <c r="H372" t="s">
        <v>120</v>
      </c>
      <c r="I372" t="s">
        <v>125</v>
      </c>
    </row>
    <row r="373" spans="1:9" x14ac:dyDescent="0.25">
      <c r="A373" s="4" t="str">
        <f>"5779"</f>
        <v>5779</v>
      </c>
      <c r="B373" s="4" t="s">
        <v>505</v>
      </c>
      <c r="C373" t="s">
        <v>506</v>
      </c>
      <c r="D373" t="s">
        <v>507</v>
      </c>
      <c r="E373" t="str">
        <f>"252 46"</f>
        <v>252 46</v>
      </c>
      <c r="F373" t="s">
        <v>508</v>
      </c>
      <c r="G373" t="s">
        <v>201</v>
      </c>
      <c r="H373" t="s">
        <v>120</v>
      </c>
      <c r="I373" t="s">
        <v>125</v>
      </c>
    </row>
    <row r="374" spans="1:9" x14ac:dyDescent="0.25">
      <c r="A374" s="4" t="str">
        <f>"6324"</f>
        <v>6324</v>
      </c>
      <c r="B374" s="4" t="s">
        <v>509</v>
      </c>
      <c r="C374" t="s">
        <v>510</v>
      </c>
      <c r="D374" t="s">
        <v>511</v>
      </c>
      <c r="E374" t="str">
        <f>"252 05"</f>
        <v>252 05</v>
      </c>
      <c r="F374" t="s">
        <v>512</v>
      </c>
      <c r="G374" t="s">
        <v>201</v>
      </c>
      <c r="H374" t="s">
        <v>120</v>
      </c>
      <c r="I374" t="s">
        <v>125</v>
      </c>
    </row>
    <row r="375" spans="1:9" x14ac:dyDescent="0.25">
      <c r="A375" s="4" t="str">
        <f>"6448"</f>
        <v>6448</v>
      </c>
      <c r="B375" s="4" t="s">
        <v>513</v>
      </c>
      <c r="C375" t="s">
        <v>514</v>
      </c>
      <c r="D375" t="s">
        <v>515</v>
      </c>
      <c r="E375" t="str">
        <f>"252 10"</f>
        <v>252 10</v>
      </c>
      <c r="F375" t="s">
        <v>516</v>
      </c>
      <c r="G375" t="s">
        <v>201</v>
      </c>
      <c r="H375" t="s">
        <v>120</v>
      </c>
      <c r="I375" t="s">
        <v>125</v>
      </c>
    </row>
    <row r="376" spans="1:9" x14ac:dyDescent="0.25">
      <c r="A376" s="4" t="str">
        <f>"5475"</f>
        <v>5475</v>
      </c>
      <c r="B376" s="4" t="s">
        <v>517</v>
      </c>
      <c r="C376" t="s">
        <v>518</v>
      </c>
      <c r="D376" t="s">
        <v>519</v>
      </c>
      <c r="E376" t="str">
        <f>"252 10"</f>
        <v>252 10</v>
      </c>
      <c r="F376" t="s">
        <v>520</v>
      </c>
      <c r="G376" t="s">
        <v>201</v>
      </c>
      <c r="H376" t="s">
        <v>120</v>
      </c>
      <c r="I376" t="s">
        <v>125</v>
      </c>
    </row>
    <row r="377" spans="1:9" x14ac:dyDescent="0.25">
      <c r="A377" s="4" t="str">
        <f>"6"</f>
        <v>6</v>
      </c>
      <c r="B377" s="4" t="s">
        <v>532</v>
      </c>
      <c r="C377" t="s">
        <v>533</v>
      </c>
      <c r="D377" t="s">
        <v>534</v>
      </c>
      <c r="E377" t="str">
        <f>"268 01"</f>
        <v>268 01</v>
      </c>
      <c r="F377" t="s">
        <v>535</v>
      </c>
      <c r="G377" t="s">
        <v>201</v>
      </c>
      <c r="H377" t="s">
        <v>120</v>
      </c>
      <c r="I377" t="s">
        <v>125</v>
      </c>
    </row>
    <row r="378" spans="1:9" x14ac:dyDescent="0.25">
      <c r="A378" s="4" t="str">
        <f>"346"</f>
        <v>346</v>
      </c>
      <c r="B378" s="4" t="s">
        <v>536</v>
      </c>
      <c r="C378" t="s">
        <v>537</v>
      </c>
      <c r="D378" t="s">
        <v>538</v>
      </c>
      <c r="E378" t="str">
        <f>"267 27"</f>
        <v>267 27</v>
      </c>
      <c r="F378" t="s">
        <v>539</v>
      </c>
      <c r="G378" t="s">
        <v>201</v>
      </c>
      <c r="H378" t="s">
        <v>120</v>
      </c>
      <c r="I378" t="s">
        <v>125</v>
      </c>
    </row>
    <row r="379" spans="1:9" x14ac:dyDescent="0.25">
      <c r="A379" s="4" t="str">
        <f>"532"</f>
        <v>532</v>
      </c>
      <c r="B379" s="4" t="s">
        <v>540</v>
      </c>
      <c r="C379" t="s">
        <v>541</v>
      </c>
      <c r="D379" t="s">
        <v>542</v>
      </c>
      <c r="E379" t="str">
        <f>"267 24"</f>
        <v>267 24</v>
      </c>
      <c r="F379" t="s">
        <v>543</v>
      </c>
      <c r="G379" t="s">
        <v>201</v>
      </c>
      <c r="H379" t="s">
        <v>120</v>
      </c>
      <c r="I379" t="s">
        <v>125</v>
      </c>
    </row>
    <row r="380" spans="1:9" x14ac:dyDescent="0.25">
      <c r="A380" s="4" t="str">
        <f>"562"</f>
        <v>562</v>
      </c>
      <c r="B380" s="4" t="s">
        <v>544</v>
      </c>
      <c r="C380" t="s">
        <v>545</v>
      </c>
      <c r="D380" t="s">
        <v>546</v>
      </c>
      <c r="E380" t="str">
        <f>"267 24"</f>
        <v>267 24</v>
      </c>
      <c r="F380" t="s">
        <v>547</v>
      </c>
      <c r="G380" t="s">
        <v>201</v>
      </c>
      <c r="H380" t="s">
        <v>120</v>
      </c>
      <c r="I380" t="s">
        <v>125</v>
      </c>
    </row>
    <row r="381" spans="1:9" x14ac:dyDescent="0.25">
      <c r="A381" s="4" t="str">
        <f>"868"</f>
        <v>868</v>
      </c>
      <c r="B381" s="4" t="s">
        <v>548</v>
      </c>
      <c r="C381" t="s">
        <v>549</v>
      </c>
      <c r="D381" t="s">
        <v>550</v>
      </c>
      <c r="E381" t="str">
        <f>"267 61"</f>
        <v>267 61</v>
      </c>
      <c r="F381" t="s">
        <v>551</v>
      </c>
      <c r="G381" t="s">
        <v>201</v>
      </c>
      <c r="H381" t="s">
        <v>120</v>
      </c>
      <c r="I381" t="s">
        <v>125</v>
      </c>
    </row>
    <row r="382" spans="1:9" x14ac:dyDescent="0.25">
      <c r="A382" s="4" t="str">
        <f>"1502"</f>
        <v>1502</v>
      </c>
      <c r="B382" s="4" t="s">
        <v>552</v>
      </c>
      <c r="C382" t="s">
        <v>553</v>
      </c>
      <c r="D382" t="s">
        <v>554</v>
      </c>
      <c r="E382" t="str">
        <f>"267 63"</f>
        <v>267 63</v>
      </c>
      <c r="F382" t="s">
        <v>555</v>
      </c>
      <c r="G382" t="s">
        <v>201</v>
      </c>
      <c r="H382" t="s">
        <v>120</v>
      </c>
      <c r="I382" t="s">
        <v>125</v>
      </c>
    </row>
    <row r="383" spans="1:9" x14ac:dyDescent="0.25">
      <c r="A383" s="4" t="str">
        <f>"1583"</f>
        <v>1583</v>
      </c>
      <c r="B383" s="4" t="s">
        <v>556</v>
      </c>
      <c r="C383" t="s">
        <v>557</v>
      </c>
      <c r="D383" t="s">
        <v>558</v>
      </c>
      <c r="E383" t="str">
        <f>"267 23"</f>
        <v>267 23</v>
      </c>
      <c r="F383" t="s">
        <v>559</v>
      </c>
      <c r="G383" t="s">
        <v>201</v>
      </c>
      <c r="H383" t="s">
        <v>120</v>
      </c>
      <c r="I383" t="s">
        <v>125</v>
      </c>
    </row>
    <row r="384" spans="1:9" x14ac:dyDescent="0.25">
      <c r="A384" s="4" t="str">
        <f>"2048"</f>
        <v>2048</v>
      </c>
      <c r="B384" s="4" t="s">
        <v>560</v>
      </c>
      <c r="C384" t="s">
        <v>561</v>
      </c>
      <c r="D384" t="s">
        <v>562</v>
      </c>
      <c r="E384" t="str">
        <f>"267 51"</f>
        <v>267 51</v>
      </c>
      <c r="F384" t="s">
        <v>563</v>
      </c>
      <c r="G384" t="s">
        <v>201</v>
      </c>
      <c r="H384" t="s">
        <v>120</v>
      </c>
      <c r="I384" t="s">
        <v>125</v>
      </c>
    </row>
    <row r="385" spans="1:9" x14ac:dyDescent="0.25">
      <c r="A385" s="4" t="str">
        <f>"2677"</f>
        <v>2677</v>
      </c>
      <c r="B385" s="4" t="s">
        <v>564</v>
      </c>
      <c r="C385" t="s">
        <v>565</v>
      </c>
      <c r="D385" t="s">
        <v>566</v>
      </c>
      <c r="E385" t="str">
        <f>"267 51"</f>
        <v>267 51</v>
      </c>
      <c r="F385" t="s">
        <v>567</v>
      </c>
      <c r="G385" t="s">
        <v>201</v>
      </c>
      <c r="H385" t="s">
        <v>120</v>
      </c>
      <c r="I385" t="s">
        <v>125</v>
      </c>
    </row>
    <row r="386" spans="1:9" x14ac:dyDescent="0.25">
      <c r="A386" s="4" t="str">
        <f>"2696"</f>
        <v>2696</v>
      </c>
      <c r="B386" s="4" t="s">
        <v>568</v>
      </c>
      <c r="C386" t="s">
        <v>569</v>
      </c>
      <c r="D386" t="s">
        <v>570</v>
      </c>
      <c r="E386" t="str">
        <f>"267 62"</f>
        <v>267 62</v>
      </c>
      <c r="F386" t="s">
        <v>571</v>
      </c>
      <c r="G386" t="s">
        <v>201</v>
      </c>
      <c r="H386" t="s">
        <v>120</v>
      </c>
      <c r="I386" t="s">
        <v>125</v>
      </c>
    </row>
    <row r="387" spans="1:9" x14ac:dyDescent="0.25">
      <c r="A387" s="4" t="str">
        <f>"2769"</f>
        <v>2769</v>
      </c>
      <c r="B387" s="4" t="s">
        <v>572</v>
      </c>
      <c r="C387" t="s">
        <v>573</v>
      </c>
      <c r="D387" t="s">
        <v>574</v>
      </c>
      <c r="E387" t="str">
        <f>"267 61"</f>
        <v>267 61</v>
      </c>
      <c r="F387" t="s">
        <v>575</v>
      </c>
      <c r="G387" t="s">
        <v>201</v>
      </c>
      <c r="H387" t="s">
        <v>120</v>
      </c>
      <c r="I387" t="s">
        <v>125</v>
      </c>
    </row>
    <row r="388" spans="1:9" x14ac:dyDescent="0.25">
      <c r="A388" s="4" t="str">
        <f>"2875"</f>
        <v>2875</v>
      </c>
      <c r="B388" s="4" t="s">
        <v>576</v>
      </c>
      <c r="C388" t="s">
        <v>577</v>
      </c>
      <c r="D388" t="s">
        <v>578</v>
      </c>
      <c r="E388" t="str">
        <f>"267 25"</f>
        <v>267 25</v>
      </c>
      <c r="F388" t="s">
        <v>579</v>
      </c>
      <c r="G388" t="s">
        <v>201</v>
      </c>
      <c r="H388" t="s">
        <v>120</v>
      </c>
      <c r="I388" t="s">
        <v>125</v>
      </c>
    </row>
    <row r="389" spans="1:9" x14ac:dyDescent="0.25">
      <c r="A389" s="4" t="str">
        <f>"2877"</f>
        <v>2877</v>
      </c>
      <c r="B389" s="4" t="s">
        <v>580</v>
      </c>
      <c r="C389" t="s">
        <v>581</v>
      </c>
      <c r="D389" t="s">
        <v>582</v>
      </c>
      <c r="E389" t="str">
        <f>"267 27"</f>
        <v>267 27</v>
      </c>
      <c r="F389" t="s">
        <v>583</v>
      </c>
      <c r="G389" t="s">
        <v>201</v>
      </c>
      <c r="H389" t="s">
        <v>120</v>
      </c>
      <c r="I389" t="s">
        <v>125</v>
      </c>
    </row>
    <row r="390" spans="1:9" x14ac:dyDescent="0.25">
      <c r="A390" s="4" t="str">
        <f>"3205"</f>
        <v>3205</v>
      </c>
      <c r="B390" s="4" t="s">
        <v>584</v>
      </c>
      <c r="C390" t="s">
        <v>585</v>
      </c>
      <c r="D390" t="s">
        <v>586</v>
      </c>
      <c r="E390" t="str">
        <f>"267 24"</f>
        <v>267 24</v>
      </c>
      <c r="F390" t="s">
        <v>587</v>
      </c>
      <c r="G390" t="s">
        <v>201</v>
      </c>
      <c r="H390" t="s">
        <v>120</v>
      </c>
      <c r="I390" t="s">
        <v>125</v>
      </c>
    </row>
    <row r="391" spans="1:9" x14ac:dyDescent="0.25">
      <c r="A391" s="4" t="str">
        <f>"3222"</f>
        <v>3222</v>
      </c>
      <c r="B391" s="4" t="s">
        <v>588</v>
      </c>
      <c r="C391" t="s">
        <v>589</v>
      </c>
      <c r="D391" t="s">
        <v>590</v>
      </c>
      <c r="E391" t="str">
        <f>"267 62"</f>
        <v>267 62</v>
      </c>
      <c r="F391" t="s">
        <v>591</v>
      </c>
      <c r="G391" t="s">
        <v>201</v>
      </c>
      <c r="H391" t="s">
        <v>120</v>
      </c>
      <c r="I391" t="s">
        <v>125</v>
      </c>
    </row>
    <row r="392" spans="1:9" x14ac:dyDescent="0.25">
      <c r="A392" s="4" t="str">
        <f>"3365"</f>
        <v>3365</v>
      </c>
      <c r="B392" s="4" t="s">
        <v>592</v>
      </c>
      <c r="C392" t="s">
        <v>593</v>
      </c>
      <c r="D392" t="s">
        <v>594</v>
      </c>
      <c r="E392" t="str">
        <f>"267 61"</f>
        <v>267 61</v>
      </c>
      <c r="F392" t="s">
        <v>595</v>
      </c>
      <c r="G392" t="s">
        <v>201</v>
      </c>
      <c r="H392" t="s">
        <v>120</v>
      </c>
      <c r="I392" t="s">
        <v>125</v>
      </c>
    </row>
    <row r="393" spans="1:9" x14ac:dyDescent="0.25">
      <c r="A393" s="4" t="str">
        <f>"3694"</f>
        <v>3694</v>
      </c>
      <c r="B393" s="4" t="s">
        <v>596</v>
      </c>
      <c r="C393" t="s">
        <v>597</v>
      </c>
      <c r="D393" t="s">
        <v>598</v>
      </c>
      <c r="E393" t="str">
        <f>"268 01"</f>
        <v>268 01</v>
      </c>
      <c r="F393" t="s">
        <v>599</v>
      </c>
      <c r="G393" t="s">
        <v>201</v>
      </c>
      <c r="H393" t="s">
        <v>120</v>
      </c>
      <c r="I393" t="s">
        <v>125</v>
      </c>
    </row>
    <row r="394" spans="1:9" x14ac:dyDescent="0.25">
      <c r="A394" s="4" t="str">
        <f>"3811"</f>
        <v>3811</v>
      </c>
      <c r="B394" s="4" t="s">
        <v>600</v>
      </c>
      <c r="C394" t="s">
        <v>601</v>
      </c>
      <c r="D394" t="s">
        <v>602</v>
      </c>
      <c r="E394" t="str">
        <f>"267 18"</f>
        <v>267 18</v>
      </c>
      <c r="F394" t="s">
        <v>603</v>
      </c>
      <c r="G394" t="s">
        <v>201</v>
      </c>
      <c r="H394" t="s">
        <v>120</v>
      </c>
      <c r="I394" t="s">
        <v>125</v>
      </c>
    </row>
    <row r="395" spans="1:9" x14ac:dyDescent="0.25">
      <c r="A395" s="4" t="str">
        <f>"3984"</f>
        <v>3984</v>
      </c>
      <c r="B395" s="4" t="s">
        <v>604</v>
      </c>
      <c r="C395" t="s">
        <v>605</v>
      </c>
      <c r="D395" t="s">
        <v>606</v>
      </c>
      <c r="E395" t="str">
        <f>"267 24"</f>
        <v>267 24</v>
      </c>
      <c r="F395" t="s">
        <v>607</v>
      </c>
      <c r="G395" t="s">
        <v>201</v>
      </c>
      <c r="H395" t="s">
        <v>120</v>
      </c>
      <c r="I395" t="s">
        <v>125</v>
      </c>
    </row>
    <row r="396" spans="1:9" x14ac:dyDescent="0.25">
      <c r="A396" s="4" t="str">
        <f>"4482"</f>
        <v>4482</v>
      </c>
      <c r="B396" s="4" t="s">
        <v>608</v>
      </c>
      <c r="C396" t="s">
        <v>609</v>
      </c>
      <c r="D396" t="s">
        <v>610</v>
      </c>
      <c r="E396" t="str">
        <f>"267 18"</f>
        <v>267 18</v>
      </c>
      <c r="F396" t="s">
        <v>611</v>
      </c>
      <c r="G396" t="s">
        <v>201</v>
      </c>
      <c r="H396" t="s">
        <v>120</v>
      </c>
      <c r="I396" t="s">
        <v>125</v>
      </c>
    </row>
    <row r="397" spans="1:9" x14ac:dyDescent="0.25">
      <c r="A397" s="4" t="str">
        <f>"4495"</f>
        <v>4495</v>
      </c>
      <c r="B397" s="4" t="s">
        <v>612</v>
      </c>
      <c r="C397" t="s">
        <v>613</v>
      </c>
      <c r="D397" t="s">
        <v>614</v>
      </c>
      <c r="E397" t="str">
        <f>"267 23"</f>
        <v>267 23</v>
      </c>
      <c r="F397" t="s">
        <v>615</v>
      </c>
      <c r="G397" t="s">
        <v>201</v>
      </c>
      <c r="H397" t="s">
        <v>120</v>
      </c>
      <c r="I397" t="s">
        <v>125</v>
      </c>
    </row>
    <row r="398" spans="1:9" x14ac:dyDescent="0.25">
      <c r="A398" s="4" t="str">
        <f>"4617"</f>
        <v>4617</v>
      </c>
      <c r="B398" s="4" t="s">
        <v>616</v>
      </c>
      <c r="C398" t="s">
        <v>617</v>
      </c>
      <c r="D398" t="s">
        <v>618</v>
      </c>
      <c r="E398" t="str">
        <f>"267 01"</f>
        <v>267 01</v>
      </c>
      <c r="F398" t="s">
        <v>619</v>
      </c>
      <c r="G398" t="s">
        <v>201</v>
      </c>
      <c r="H398" t="s">
        <v>120</v>
      </c>
      <c r="I398" t="s">
        <v>125</v>
      </c>
    </row>
    <row r="399" spans="1:9" x14ac:dyDescent="0.25">
      <c r="A399" s="4" t="str">
        <f>"4756"</f>
        <v>4756</v>
      </c>
      <c r="B399" s="4" t="s">
        <v>620</v>
      </c>
      <c r="C399" t="s">
        <v>621</v>
      </c>
      <c r="D399" t="s">
        <v>622</v>
      </c>
      <c r="E399" t="str">
        <f>"267 24"</f>
        <v>267 24</v>
      </c>
      <c r="F399" t="s">
        <v>623</v>
      </c>
      <c r="G399" t="s">
        <v>201</v>
      </c>
      <c r="H399" t="s">
        <v>120</v>
      </c>
      <c r="I399" t="s">
        <v>125</v>
      </c>
    </row>
    <row r="400" spans="1:9" x14ac:dyDescent="0.25">
      <c r="A400" s="4" t="str">
        <f>"4843"</f>
        <v>4843</v>
      </c>
      <c r="B400" s="4" t="s">
        <v>624</v>
      </c>
      <c r="C400" t="s">
        <v>625</v>
      </c>
      <c r="D400" t="s">
        <v>626</v>
      </c>
      <c r="E400" t="str">
        <f>"268 01"</f>
        <v>268 01</v>
      </c>
      <c r="F400" t="s">
        <v>627</v>
      </c>
      <c r="G400" t="s">
        <v>201</v>
      </c>
      <c r="H400" t="s">
        <v>120</v>
      </c>
      <c r="I400" t="s">
        <v>125</v>
      </c>
    </row>
    <row r="401" spans="1:9" x14ac:dyDescent="0.25">
      <c r="A401" s="4" t="str">
        <f>"4941"</f>
        <v>4941</v>
      </c>
      <c r="B401" s="4" t="s">
        <v>628</v>
      </c>
      <c r="C401" t="s">
        <v>629</v>
      </c>
      <c r="D401" t="s">
        <v>630</v>
      </c>
      <c r="E401" t="str">
        <f>"267 29"</f>
        <v>267 29</v>
      </c>
      <c r="F401" t="s">
        <v>631</v>
      </c>
      <c r="G401" t="s">
        <v>201</v>
      </c>
      <c r="H401" t="s">
        <v>120</v>
      </c>
      <c r="I401" t="s">
        <v>125</v>
      </c>
    </row>
    <row r="402" spans="1:9" x14ac:dyDescent="0.25">
      <c r="A402" s="4" t="str">
        <f>"5859"</f>
        <v>5859</v>
      </c>
      <c r="B402" s="4" t="s">
        <v>632</v>
      </c>
      <c r="C402" t="s">
        <v>633</v>
      </c>
      <c r="D402" t="s">
        <v>634</v>
      </c>
      <c r="E402" t="str">
        <f>"267 43"</f>
        <v>267 43</v>
      </c>
      <c r="F402" t="s">
        <v>635</v>
      </c>
      <c r="G402" t="s">
        <v>201</v>
      </c>
      <c r="H402" t="s">
        <v>120</v>
      </c>
      <c r="I402" t="s">
        <v>125</v>
      </c>
    </row>
    <row r="403" spans="1:9" x14ac:dyDescent="0.25">
      <c r="A403" s="4" t="str">
        <f>"5861"</f>
        <v>5861</v>
      </c>
      <c r="B403" s="4" t="s">
        <v>636</v>
      </c>
      <c r="C403" t="s">
        <v>637</v>
      </c>
      <c r="D403" t="s">
        <v>638</v>
      </c>
      <c r="E403" t="str">
        <f>"268 01"</f>
        <v>268 01</v>
      </c>
      <c r="F403" t="s">
        <v>639</v>
      </c>
      <c r="G403" t="s">
        <v>201</v>
      </c>
      <c r="H403" t="s">
        <v>120</v>
      </c>
      <c r="I403" t="s">
        <v>125</v>
      </c>
    </row>
    <row r="404" spans="1:9" x14ac:dyDescent="0.25">
      <c r="A404" s="4" t="str">
        <f>"5881"</f>
        <v>5881</v>
      </c>
      <c r="B404" s="4" t="s">
        <v>640</v>
      </c>
      <c r="C404" t="s">
        <v>641</v>
      </c>
      <c r="D404" t="s">
        <v>642</v>
      </c>
      <c r="E404" t="str">
        <f>"267 27"</f>
        <v>267 27</v>
      </c>
      <c r="F404" t="s">
        <v>643</v>
      </c>
      <c r="G404" t="s">
        <v>201</v>
      </c>
      <c r="H404" t="s">
        <v>120</v>
      </c>
      <c r="I404" t="s">
        <v>125</v>
      </c>
    </row>
    <row r="405" spans="1:9" x14ac:dyDescent="0.25">
      <c r="A405" s="4" t="str">
        <f>"5918"</f>
        <v>5918</v>
      </c>
      <c r="B405" s="4" t="s">
        <v>644</v>
      </c>
      <c r="C405" t="s">
        <v>645</v>
      </c>
      <c r="D405" t="s">
        <v>646</v>
      </c>
      <c r="E405" t="str">
        <f>"267 51"</f>
        <v>267 51</v>
      </c>
      <c r="F405" t="s">
        <v>647</v>
      </c>
      <c r="G405" t="s">
        <v>201</v>
      </c>
      <c r="H405" t="s">
        <v>120</v>
      </c>
      <c r="I405" t="s">
        <v>125</v>
      </c>
    </row>
    <row r="406" spans="1:9" x14ac:dyDescent="0.25">
      <c r="A406" s="4" t="str">
        <f>"5969"</f>
        <v>5969</v>
      </c>
      <c r="B406" s="4" t="s">
        <v>648</v>
      </c>
      <c r="C406" t="s">
        <v>649</v>
      </c>
      <c r="D406" t="s">
        <v>650</v>
      </c>
      <c r="E406" t="str">
        <f>"267 28"</f>
        <v>267 28</v>
      </c>
      <c r="F406" t="s">
        <v>651</v>
      </c>
      <c r="G406" t="s">
        <v>201</v>
      </c>
      <c r="H406" t="s">
        <v>120</v>
      </c>
      <c r="I406" t="s">
        <v>125</v>
      </c>
    </row>
    <row r="407" spans="1:9" x14ac:dyDescent="0.25">
      <c r="A407" s="4" t="str">
        <f>"6070"</f>
        <v>6070</v>
      </c>
      <c r="B407" s="4" t="s">
        <v>652</v>
      </c>
      <c r="C407" t="s">
        <v>653</v>
      </c>
      <c r="D407" t="s">
        <v>654</v>
      </c>
      <c r="E407" t="str">
        <f>"267 54"</f>
        <v>267 54</v>
      </c>
      <c r="F407" t="s">
        <v>655</v>
      </c>
      <c r="G407" t="s">
        <v>201</v>
      </c>
      <c r="H407" t="s">
        <v>120</v>
      </c>
      <c r="I407" t="s">
        <v>125</v>
      </c>
    </row>
    <row r="408" spans="1:9" x14ac:dyDescent="0.25">
      <c r="A408" s="4" t="str">
        <f>"6111"</f>
        <v>6111</v>
      </c>
      <c r="B408" s="4" t="s">
        <v>656</v>
      </c>
      <c r="C408" t="s">
        <v>657</v>
      </c>
      <c r="D408" t="s">
        <v>658</v>
      </c>
      <c r="E408" t="str">
        <f>"267 51"</f>
        <v>267 51</v>
      </c>
      <c r="F408" t="s">
        <v>659</v>
      </c>
      <c r="G408" t="s">
        <v>201</v>
      </c>
      <c r="H408" t="s">
        <v>120</v>
      </c>
      <c r="I408" t="s">
        <v>125</v>
      </c>
    </row>
    <row r="409" spans="1:9" x14ac:dyDescent="0.25">
      <c r="A409" s="4" t="str">
        <f>"6356"</f>
        <v>6356</v>
      </c>
      <c r="B409" s="4" t="s">
        <v>660</v>
      </c>
      <c r="C409" t="s">
        <v>661</v>
      </c>
      <c r="D409" t="s">
        <v>662</v>
      </c>
      <c r="E409" t="str">
        <f>"267 22"</f>
        <v>267 22</v>
      </c>
      <c r="F409" t="s">
        <v>663</v>
      </c>
      <c r="G409" t="s">
        <v>201</v>
      </c>
      <c r="H409" t="s">
        <v>120</v>
      </c>
      <c r="I409" t="s">
        <v>125</v>
      </c>
    </row>
    <row r="410" spans="1:9" x14ac:dyDescent="0.25">
      <c r="A410" s="4" t="str">
        <f>"6419"</f>
        <v>6419</v>
      </c>
      <c r="B410" s="4" t="s">
        <v>664</v>
      </c>
      <c r="C410" t="s">
        <v>665</v>
      </c>
      <c r="D410" t="s">
        <v>666</v>
      </c>
      <c r="E410" t="str">
        <f>"267 18"</f>
        <v>267 18</v>
      </c>
      <c r="F410" t="s">
        <v>667</v>
      </c>
      <c r="G410" t="s">
        <v>201</v>
      </c>
      <c r="H410" t="s">
        <v>120</v>
      </c>
      <c r="I410" t="s">
        <v>125</v>
      </c>
    </row>
    <row r="411" spans="1:9" x14ac:dyDescent="0.25">
      <c r="A411" s="4" t="str">
        <f>"6014"</f>
        <v>6014</v>
      </c>
      <c r="B411" s="4" t="s">
        <v>668</v>
      </c>
      <c r="C411" t="s">
        <v>669</v>
      </c>
      <c r="D411" t="s">
        <v>670</v>
      </c>
      <c r="E411" t="str">
        <f>"267 24"</f>
        <v>267 24</v>
      </c>
      <c r="F411" t="s">
        <v>670</v>
      </c>
      <c r="G411" t="s">
        <v>201</v>
      </c>
      <c r="H411" t="s">
        <v>120</v>
      </c>
      <c r="I411" t="s">
        <v>125</v>
      </c>
    </row>
    <row r="412" spans="1:9" x14ac:dyDescent="0.25">
      <c r="A412" s="4" t="str">
        <f>"1547"</f>
        <v>1547</v>
      </c>
      <c r="B412" s="4" t="s">
        <v>710</v>
      </c>
      <c r="C412" t="s">
        <v>225</v>
      </c>
      <c r="D412" t="s">
        <v>711</v>
      </c>
      <c r="E412" t="str">
        <f>"259 01"</f>
        <v>259 01</v>
      </c>
      <c r="F412" t="s">
        <v>712</v>
      </c>
      <c r="G412" t="s">
        <v>201</v>
      </c>
      <c r="H412" t="s">
        <v>202</v>
      </c>
      <c r="I412" t="s">
        <v>125</v>
      </c>
    </row>
    <row r="413" spans="1:9" x14ac:dyDescent="0.25">
      <c r="A413" s="4" t="str">
        <f>"636"</f>
        <v>636</v>
      </c>
      <c r="B413" s="4" t="s">
        <v>713</v>
      </c>
      <c r="C413" t="s">
        <v>225</v>
      </c>
      <c r="D413" t="s">
        <v>714</v>
      </c>
      <c r="E413" t="str">
        <f>"258 01"</f>
        <v>258 01</v>
      </c>
      <c r="F413" t="s">
        <v>715</v>
      </c>
      <c r="G413" t="s">
        <v>201</v>
      </c>
      <c r="H413" t="s">
        <v>202</v>
      </c>
      <c r="I413" t="s">
        <v>125</v>
      </c>
    </row>
    <row r="414" spans="1:9" x14ac:dyDescent="0.25">
      <c r="A414" s="4" t="str">
        <f>"4987"</f>
        <v>4987</v>
      </c>
      <c r="B414" s="4" t="s">
        <v>716</v>
      </c>
      <c r="C414" t="s">
        <v>217</v>
      </c>
      <c r="D414" t="s">
        <v>717</v>
      </c>
      <c r="E414" t="str">
        <f>"257 68"</f>
        <v>257 68</v>
      </c>
      <c r="F414" t="s">
        <v>718</v>
      </c>
      <c r="G414" t="s">
        <v>201</v>
      </c>
      <c r="H414" t="s">
        <v>120</v>
      </c>
      <c r="I414" t="s">
        <v>125</v>
      </c>
    </row>
    <row r="415" spans="1:9" x14ac:dyDescent="0.25">
      <c r="A415" s="4" t="str">
        <f>"3258"</f>
        <v>3258</v>
      </c>
      <c r="B415" s="4" t="s">
        <v>719</v>
      </c>
      <c r="C415" t="s">
        <v>720</v>
      </c>
      <c r="D415" t="s">
        <v>721</v>
      </c>
      <c r="E415" t="str">
        <f>"257 65"</f>
        <v>257 65</v>
      </c>
      <c r="F415" t="s">
        <v>722</v>
      </c>
      <c r="G415" t="s">
        <v>201</v>
      </c>
      <c r="H415" t="s">
        <v>120</v>
      </c>
      <c r="I415" t="s">
        <v>125</v>
      </c>
    </row>
    <row r="416" spans="1:9" x14ac:dyDescent="0.25">
      <c r="A416" s="4" t="str">
        <f>"5116"</f>
        <v>5116</v>
      </c>
      <c r="B416" s="4" t="s">
        <v>723</v>
      </c>
      <c r="C416" t="s">
        <v>225</v>
      </c>
      <c r="D416" t="s">
        <v>724</v>
      </c>
      <c r="E416" t="str">
        <f>"257 63"</f>
        <v>257 63</v>
      </c>
      <c r="F416" t="s">
        <v>725</v>
      </c>
      <c r="G416" t="s">
        <v>201</v>
      </c>
      <c r="H416" t="s">
        <v>120</v>
      </c>
      <c r="I416" t="s">
        <v>125</v>
      </c>
    </row>
    <row r="417" spans="1:9" x14ac:dyDescent="0.25">
      <c r="A417" s="4" t="str">
        <f>"2306"</f>
        <v>2306</v>
      </c>
      <c r="B417" s="4" t="s">
        <v>730</v>
      </c>
      <c r="C417" t="s">
        <v>731</v>
      </c>
      <c r="D417" t="s">
        <v>732</v>
      </c>
      <c r="E417" t="str">
        <f>"257 26"</f>
        <v>257 26</v>
      </c>
      <c r="F417" t="s">
        <v>733</v>
      </c>
      <c r="G417" t="s">
        <v>201</v>
      </c>
      <c r="H417" t="s">
        <v>120</v>
      </c>
      <c r="I417" t="s">
        <v>125</v>
      </c>
    </row>
    <row r="418" spans="1:9" x14ac:dyDescent="0.25">
      <c r="A418" s="4" t="str">
        <f>"5358"</f>
        <v>5358</v>
      </c>
      <c r="B418" s="4" t="s">
        <v>734</v>
      </c>
      <c r="C418" t="s">
        <v>217</v>
      </c>
      <c r="D418" t="s">
        <v>735</v>
      </c>
      <c r="E418" t="str">
        <f>"257 86"</f>
        <v>257 86</v>
      </c>
      <c r="F418" t="s">
        <v>736</v>
      </c>
      <c r="G418" t="s">
        <v>201</v>
      </c>
      <c r="H418" t="s">
        <v>120</v>
      </c>
      <c r="I418" t="s">
        <v>125</v>
      </c>
    </row>
    <row r="419" spans="1:9" x14ac:dyDescent="0.25">
      <c r="A419" s="4" t="str">
        <f>"2380"</f>
        <v>2380</v>
      </c>
      <c r="B419" s="4" t="s">
        <v>737</v>
      </c>
      <c r="C419" t="s">
        <v>738</v>
      </c>
      <c r="D419" t="s">
        <v>739</v>
      </c>
      <c r="E419" t="str">
        <f>"257 08"</f>
        <v>257 08</v>
      </c>
      <c r="F419" t="s">
        <v>740</v>
      </c>
      <c r="G419" t="s">
        <v>201</v>
      </c>
      <c r="H419" t="s">
        <v>120</v>
      </c>
      <c r="I419" t="s">
        <v>125</v>
      </c>
    </row>
    <row r="420" spans="1:9" x14ac:dyDescent="0.25">
      <c r="A420" s="4" t="str">
        <f>"4097"</f>
        <v>4097</v>
      </c>
      <c r="B420" s="4" t="s">
        <v>741</v>
      </c>
      <c r="C420" t="s">
        <v>742</v>
      </c>
      <c r="D420" t="s">
        <v>743</v>
      </c>
      <c r="E420" t="str">
        <f>"257 56"</f>
        <v>257 56</v>
      </c>
      <c r="F420" t="s">
        <v>744</v>
      </c>
      <c r="G420" t="s">
        <v>201</v>
      </c>
      <c r="H420" t="s">
        <v>120</v>
      </c>
      <c r="I420" t="s">
        <v>125</v>
      </c>
    </row>
    <row r="421" spans="1:9" x14ac:dyDescent="0.25">
      <c r="A421" s="4" t="str">
        <f>"2345"</f>
        <v>2345</v>
      </c>
      <c r="B421" s="4" t="s">
        <v>745</v>
      </c>
      <c r="C421" t="s">
        <v>225</v>
      </c>
      <c r="D421" t="s">
        <v>746</v>
      </c>
      <c r="E421" t="str">
        <f>"257 91"</f>
        <v>257 91</v>
      </c>
      <c r="F421" t="s">
        <v>747</v>
      </c>
      <c r="G421" t="s">
        <v>201</v>
      </c>
      <c r="H421" t="s">
        <v>202</v>
      </c>
      <c r="I421" t="s">
        <v>125</v>
      </c>
    </row>
    <row r="422" spans="1:9" x14ac:dyDescent="0.25">
      <c r="A422" s="4" t="str">
        <f>"1751"</f>
        <v>1751</v>
      </c>
      <c r="B422" s="4" t="s">
        <v>748</v>
      </c>
      <c r="C422" t="s">
        <v>225</v>
      </c>
      <c r="D422" t="s">
        <v>749</v>
      </c>
      <c r="E422" t="str">
        <f>"257 51"</f>
        <v>257 51</v>
      </c>
      <c r="F422" t="s">
        <v>750</v>
      </c>
      <c r="G422" t="s">
        <v>201</v>
      </c>
      <c r="H422" t="s">
        <v>120</v>
      </c>
      <c r="I422" t="s">
        <v>125</v>
      </c>
    </row>
    <row r="423" spans="1:9" x14ac:dyDescent="0.25">
      <c r="A423" s="4" t="str">
        <f>"2718"</f>
        <v>2718</v>
      </c>
      <c r="B423" s="4" t="s">
        <v>751</v>
      </c>
      <c r="C423" t="s">
        <v>225</v>
      </c>
      <c r="D423" t="s">
        <v>752</v>
      </c>
      <c r="E423" t="str">
        <f>"257 41"</f>
        <v>257 41</v>
      </c>
      <c r="F423" t="s">
        <v>753</v>
      </c>
      <c r="G423" t="s">
        <v>201</v>
      </c>
      <c r="H423" t="s">
        <v>202</v>
      </c>
      <c r="I423" t="s">
        <v>125</v>
      </c>
    </row>
    <row r="424" spans="1:9" x14ac:dyDescent="0.25">
      <c r="A424" s="4" t="str">
        <f>"4494"</f>
        <v>4494</v>
      </c>
      <c r="B424" s="4" t="s">
        <v>757</v>
      </c>
      <c r="C424" t="s">
        <v>217</v>
      </c>
      <c r="D424" t="s">
        <v>758</v>
      </c>
      <c r="E424" t="str">
        <f>"257 53"</f>
        <v>257 53</v>
      </c>
      <c r="F424" t="s">
        <v>759</v>
      </c>
      <c r="G424" t="s">
        <v>201</v>
      </c>
      <c r="H424" t="s">
        <v>120</v>
      </c>
      <c r="I424" t="s">
        <v>125</v>
      </c>
    </row>
    <row r="425" spans="1:9" x14ac:dyDescent="0.25">
      <c r="A425" s="4" t="str">
        <f>"3076"</f>
        <v>3076</v>
      </c>
      <c r="B425" s="4" t="s">
        <v>760</v>
      </c>
      <c r="C425" t="s">
        <v>761</v>
      </c>
      <c r="D425" t="s">
        <v>762</v>
      </c>
      <c r="E425" t="str">
        <f>"257 87"</f>
        <v>257 87</v>
      </c>
      <c r="F425" t="s">
        <v>763</v>
      </c>
      <c r="G425" t="s">
        <v>201</v>
      </c>
      <c r="H425" t="s">
        <v>120</v>
      </c>
      <c r="I425" t="s">
        <v>125</v>
      </c>
    </row>
    <row r="426" spans="1:9" x14ac:dyDescent="0.25">
      <c r="A426" s="4" t="str">
        <f>"366"</f>
        <v>366</v>
      </c>
      <c r="B426" s="4" t="s">
        <v>764</v>
      </c>
      <c r="C426" t="s">
        <v>765</v>
      </c>
      <c r="D426" t="s">
        <v>766</v>
      </c>
      <c r="E426" t="str">
        <f>"257 09"</f>
        <v>257 09</v>
      </c>
      <c r="F426" t="s">
        <v>767</v>
      </c>
      <c r="G426" t="s">
        <v>201</v>
      </c>
      <c r="H426" t="s">
        <v>120</v>
      </c>
      <c r="I426" t="s">
        <v>125</v>
      </c>
    </row>
    <row r="427" spans="1:9" x14ac:dyDescent="0.25">
      <c r="A427" s="4" t="str">
        <f>"546"</f>
        <v>546</v>
      </c>
      <c r="B427" s="4" t="s">
        <v>768</v>
      </c>
      <c r="C427" t="s">
        <v>769</v>
      </c>
      <c r="D427" t="s">
        <v>770</v>
      </c>
      <c r="E427" t="str">
        <f>"257 44"</f>
        <v>257 44</v>
      </c>
      <c r="F427" t="s">
        <v>771</v>
      </c>
      <c r="G427" t="s">
        <v>201</v>
      </c>
      <c r="H427" t="s">
        <v>120</v>
      </c>
      <c r="I427" t="s">
        <v>125</v>
      </c>
    </row>
    <row r="428" spans="1:9" x14ac:dyDescent="0.25">
      <c r="A428" s="4" t="str">
        <f>"767"</f>
        <v>767</v>
      </c>
      <c r="B428" s="4" t="s">
        <v>772</v>
      </c>
      <c r="C428" t="s">
        <v>773</v>
      </c>
      <c r="D428" t="s">
        <v>774</v>
      </c>
      <c r="E428" t="str">
        <f>"257 01"</f>
        <v>257 01</v>
      </c>
      <c r="F428" t="s">
        <v>775</v>
      </c>
      <c r="G428" t="s">
        <v>201</v>
      </c>
      <c r="H428" t="s">
        <v>120</v>
      </c>
      <c r="I428" t="s">
        <v>125</v>
      </c>
    </row>
    <row r="429" spans="1:9" x14ac:dyDescent="0.25">
      <c r="A429" s="4" t="str">
        <f>"1010"</f>
        <v>1010</v>
      </c>
      <c r="B429" s="4" t="s">
        <v>776</v>
      </c>
      <c r="C429" t="s">
        <v>777</v>
      </c>
      <c r="D429" t="s">
        <v>778</v>
      </c>
      <c r="E429" t="str">
        <f>"257 41"</f>
        <v>257 41</v>
      </c>
      <c r="F429" t="s">
        <v>779</v>
      </c>
      <c r="G429" t="s">
        <v>201</v>
      </c>
      <c r="H429" t="s">
        <v>120</v>
      </c>
      <c r="I429" t="s">
        <v>125</v>
      </c>
    </row>
    <row r="430" spans="1:9" x14ac:dyDescent="0.25">
      <c r="A430" s="4" t="str">
        <f>"1227"</f>
        <v>1227</v>
      </c>
      <c r="B430" s="4" t="s">
        <v>780</v>
      </c>
      <c r="C430" t="s">
        <v>781</v>
      </c>
      <c r="D430" t="s">
        <v>782</v>
      </c>
      <c r="E430" t="str">
        <f>"257 03"</f>
        <v>257 03</v>
      </c>
      <c r="F430" t="s">
        <v>783</v>
      </c>
      <c r="G430" t="s">
        <v>201</v>
      </c>
      <c r="H430" t="s">
        <v>120</v>
      </c>
      <c r="I430" t="s">
        <v>125</v>
      </c>
    </row>
    <row r="431" spans="1:9" x14ac:dyDescent="0.25">
      <c r="A431" s="4" t="str">
        <f>"1435"</f>
        <v>1435</v>
      </c>
      <c r="B431" s="4" t="s">
        <v>784</v>
      </c>
      <c r="C431" t="s">
        <v>785</v>
      </c>
      <c r="D431" t="s">
        <v>786</v>
      </c>
      <c r="E431" t="str">
        <f>"257 66"</f>
        <v>257 66</v>
      </c>
      <c r="F431" t="s">
        <v>787</v>
      </c>
      <c r="G431" t="s">
        <v>201</v>
      </c>
      <c r="H431" t="s">
        <v>120</v>
      </c>
      <c r="I431" t="s">
        <v>125</v>
      </c>
    </row>
    <row r="432" spans="1:9" x14ac:dyDescent="0.25">
      <c r="A432" s="4" t="str">
        <f>"1518"</f>
        <v>1518</v>
      </c>
      <c r="B432" s="4" t="s">
        <v>788</v>
      </c>
      <c r="C432" t="s">
        <v>789</v>
      </c>
      <c r="D432" t="s">
        <v>790</v>
      </c>
      <c r="E432" t="str">
        <f>"257 53"</f>
        <v>257 53</v>
      </c>
      <c r="F432" t="s">
        <v>791</v>
      </c>
      <c r="G432" t="s">
        <v>201</v>
      </c>
      <c r="H432" t="s">
        <v>120</v>
      </c>
      <c r="I432" t="s">
        <v>125</v>
      </c>
    </row>
    <row r="433" spans="1:9" x14ac:dyDescent="0.25">
      <c r="A433" s="4" t="str">
        <f>"1631"</f>
        <v>1631</v>
      </c>
      <c r="B433" s="4" t="s">
        <v>792</v>
      </c>
      <c r="C433" t="s">
        <v>793</v>
      </c>
      <c r="D433" t="s">
        <v>794</v>
      </c>
      <c r="E433" t="str">
        <f>"257 21"</f>
        <v>257 21</v>
      </c>
      <c r="F433" t="s">
        <v>795</v>
      </c>
      <c r="G433" t="s">
        <v>201</v>
      </c>
      <c r="H433" t="s">
        <v>120</v>
      </c>
      <c r="I433" t="s">
        <v>125</v>
      </c>
    </row>
    <row r="434" spans="1:9" x14ac:dyDescent="0.25">
      <c r="A434" s="4" t="str">
        <f>"1735"</f>
        <v>1735</v>
      </c>
      <c r="B434" s="4" t="s">
        <v>796</v>
      </c>
      <c r="C434" t="s">
        <v>797</v>
      </c>
      <c r="D434" t="s">
        <v>798</v>
      </c>
      <c r="E434" t="str">
        <f>"257 64"</f>
        <v>257 64</v>
      </c>
      <c r="F434" t="s">
        <v>799</v>
      </c>
      <c r="G434" t="s">
        <v>201</v>
      </c>
      <c r="H434" t="s">
        <v>120</v>
      </c>
      <c r="I434" t="s">
        <v>125</v>
      </c>
    </row>
    <row r="435" spans="1:9" x14ac:dyDescent="0.25">
      <c r="A435" s="4" t="str">
        <f>"1922"</f>
        <v>1922</v>
      </c>
      <c r="B435" s="4" t="s">
        <v>800</v>
      </c>
      <c r="C435" t="s">
        <v>801</v>
      </c>
      <c r="D435" t="s">
        <v>802</v>
      </c>
      <c r="E435" t="str">
        <f>"257 24"</f>
        <v>257 24</v>
      </c>
      <c r="F435" t="s">
        <v>803</v>
      </c>
      <c r="G435" t="s">
        <v>201</v>
      </c>
      <c r="H435" t="s">
        <v>120</v>
      </c>
      <c r="I435" t="s">
        <v>125</v>
      </c>
    </row>
    <row r="436" spans="1:9" x14ac:dyDescent="0.25">
      <c r="A436" s="4" t="str">
        <f>"2076"</f>
        <v>2076</v>
      </c>
      <c r="B436" s="4" t="s">
        <v>804</v>
      </c>
      <c r="C436" t="s">
        <v>805</v>
      </c>
      <c r="D436" t="s">
        <v>806</v>
      </c>
      <c r="E436" t="str">
        <f>"257 55"</f>
        <v>257 55</v>
      </c>
      <c r="F436" t="s">
        <v>807</v>
      </c>
      <c r="G436" t="s">
        <v>201</v>
      </c>
      <c r="H436" t="s">
        <v>120</v>
      </c>
      <c r="I436" t="s">
        <v>125</v>
      </c>
    </row>
    <row r="437" spans="1:9" x14ac:dyDescent="0.25">
      <c r="A437" s="4" t="str">
        <f>"2135"</f>
        <v>2135</v>
      </c>
      <c r="B437" s="4" t="s">
        <v>808</v>
      </c>
      <c r="C437" t="s">
        <v>809</v>
      </c>
      <c r="D437" t="s">
        <v>810</v>
      </c>
      <c r="E437" t="str">
        <f>"257 28"</f>
        <v>257 28</v>
      </c>
      <c r="F437" t="s">
        <v>811</v>
      </c>
      <c r="G437" t="s">
        <v>201</v>
      </c>
      <c r="H437" t="s">
        <v>120</v>
      </c>
      <c r="I437" t="s">
        <v>125</v>
      </c>
    </row>
    <row r="438" spans="1:9" x14ac:dyDescent="0.25">
      <c r="A438" s="4" t="str">
        <f>"2486"</f>
        <v>2486</v>
      </c>
      <c r="B438" s="4" t="s">
        <v>812</v>
      </c>
      <c r="C438" t="s">
        <v>813</v>
      </c>
      <c r="D438" t="s">
        <v>814</v>
      </c>
      <c r="E438" t="str">
        <f>"251 67"</f>
        <v>251 67</v>
      </c>
      <c r="F438" t="s">
        <v>815</v>
      </c>
      <c r="G438" t="s">
        <v>201</v>
      </c>
      <c r="H438" t="s">
        <v>120</v>
      </c>
      <c r="I438" t="s">
        <v>125</v>
      </c>
    </row>
    <row r="439" spans="1:9" x14ac:dyDescent="0.25">
      <c r="A439" s="4" t="str">
        <f>"2779"</f>
        <v>2779</v>
      </c>
      <c r="B439" s="4" t="s">
        <v>816</v>
      </c>
      <c r="C439" t="s">
        <v>817</v>
      </c>
      <c r="D439" t="s">
        <v>818</v>
      </c>
      <c r="E439" t="str">
        <f>"257 03"</f>
        <v>257 03</v>
      </c>
      <c r="F439" t="s">
        <v>819</v>
      </c>
      <c r="G439" t="s">
        <v>201</v>
      </c>
      <c r="H439" t="s">
        <v>120</v>
      </c>
      <c r="I439" t="s">
        <v>125</v>
      </c>
    </row>
    <row r="440" spans="1:9" x14ac:dyDescent="0.25">
      <c r="A440" s="4" t="str">
        <f>"2964"</f>
        <v>2964</v>
      </c>
      <c r="B440" s="4" t="s">
        <v>820</v>
      </c>
      <c r="C440" t="s">
        <v>821</v>
      </c>
      <c r="D440" t="s">
        <v>822</v>
      </c>
      <c r="E440" t="str">
        <f>"267 61"</f>
        <v>267 61</v>
      </c>
      <c r="F440" t="s">
        <v>823</v>
      </c>
      <c r="G440" t="s">
        <v>201</v>
      </c>
      <c r="H440" t="s">
        <v>120</v>
      </c>
      <c r="I440" t="s">
        <v>125</v>
      </c>
    </row>
    <row r="441" spans="1:9" x14ac:dyDescent="0.25">
      <c r="A441" s="4" t="str">
        <f>"3140"</f>
        <v>3140</v>
      </c>
      <c r="B441" s="4" t="s">
        <v>824</v>
      </c>
      <c r="C441" t="s">
        <v>825</v>
      </c>
      <c r="D441" t="s">
        <v>826</v>
      </c>
      <c r="E441" t="str">
        <f>"257 44"</f>
        <v>257 44</v>
      </c>
      <c r="F441" t="s">
        <v>827</v>
      </c>
      <c r="G441" t="s">
        <v>201</v>
      </c>
      <c r="H441" t="s">
        <v>120</v>
      </c>
      <c r="I441" t="s">
        <v>125</v>
      </c>
    </row>
    <row r="442" spans="1:9" x14ac:dyDescent="0.25">
      <c r="A442" s="4" t="str">
        <f>"3536"</f>
        <v>3536</v>
      </c>
      <c r="B442" s="4" t="s">
        <v>828</v>
      </c>
      <c r="C442" t="s">
        <v>829</v>
      </c>
      <c r="D442" t="s">
        <v>830</v>
      </c>
      <c r="E442" t="str">
        <f>"257 89"</f>
        <v>257 89</v>
      </c>
      <c r="F442" t="s">
        <v>831</v>
      </c>
      <c r="G442" t="s">
        <v>201</v>
      </c>
      <c r="H442" t="s">
        <v>120</v>
      </c>
      <c r="I442" t="s">
        <v>125</v>
      </c>
    </row>
    <row r="443" spans="1:9" x14ac:dyDescent="0.25">
      <c r="A443" s="4" t="str">
        <f>"3610"</f>
        <v>3610</v>
      </c>
      <c r="B443" s="4" t="s">
        <v>832</v>
      </c>
      <c r="C443" t="s">
        <v>833</v>
      </c>
      <c r="D443" t="s">
        <v>834</v>
      </c>
      <c r="E443" t="str">
        <f>"257 24"</f>
        <v>257 24</v>
      </c>
      <c r="F443" t="s">
        <v>835</v>
      </c>
      <c r="G443" t="s">
        <v>201</v>
      </c>
      <c r="H443" t="s">
        <v>120</v>
      </c>
      <c r="I443" t="s">
        <v>125</v>
      </c>
    </row>
    <row r="444" spans="1:9" x14ac:dyDescent="0.25">
      <c r="A444" s="4" t="str">
        <f>"3870"</f>
        <v>3870</v>
      </c>
      <c r="B444" s="4" t="s">
        <v>836</v>
      </c>
      <c r="C444" t="s">
        <v>837</v>
      </c>
      <c r="D444" t="s">
        <v>838</v>
      </c>
      <c r="E444" t="str">
        <f>"256 01"</f>
        <v>256 01</v>
      </c>
      <c r="F444" t="s">
        <v>839</v>
      </c>
      <c r="G444" t="s">
        <v>201</v>
      </c>
      <c r="H444" t="s">
        <v>120</v>
      </c>
      <c r="I444" t="s">
        <v>125</v>
      </c>
    </row>
    <row r="445" spans="1:9" x14ac:dyDescent="0.25">
      <c r="A445" s="4" t="str">
        <f>"4104"</f>
        <v>4104</v>
      </c>
      <c r="B445" s="4" t="s">
        <v>840</v>
      </c>
      <c r="C445" t="s">
        <v>841</v>
      </c>
      <c r="D445" t="s">
        <v>842</v>
      </c>
      <c r="E445" t="str">
        <f>"257 65"</f>
        <v>257 65</v>
      </c>
      <c r="F445" t="s">
        <v>843</v>
      </c>
      <c r="G445" t="s">
        <v>201</v>
      </c>
      <c r="H445" t="s">
        <v>120</v>
      </c>
      <c r="I445" t="s">
        <v>125</v>
      </c>
    </row>
    <row r="446" spans="1:9" x14ac:dyDescent="0.25">
      <c r="A446" s="4" t="str">
        <f>"4137"</f>
        <v>4137</v>
      </c>
      <c r="B446" s="4" t="s">
        <v>844</v>
      </c>
      <c r="C446" t="s">
        <v>845</v>
      </c>
      <c r="D446" t="s">
        <v>846</v>
      </c>
      <c r="E446" t="str">
        <f>"257 26"</f>
        <v>257 26</v>
      </c>
      <c r="F446" t="s">
        <v>847</v>
      </c>
      <c r="G446" t="s">
        <v>201</v>
      </c>
      <c r="H446" t="s">
        <v>120</v>
      </c>
      <c r="I446" t="s">
        <v>125</v>
      </c>
    </row>
    <row r="447" spans="1:9" x14ac:dyDescent="0.25">
      <c r="A447" s="4" t="str">
        <f>"4749"</f>
        <v>4749</v>
      </c>
      <c r="B447" s="4" t="s">
        <v>848</v>
      </c>
      <c r="C447" t="s">
        <v>849</v>
      </c>
      <c r="D447" t="s">
        <v>850</v>
      </c>
      <c r="E447" t="str">
        <f>"257 42"</f>
        <v>257 42</v>
      </c>
      <c r="F447" t="s">
        <v>851</v>
      </c>
      <c r="G447" t="s">
        <v>201</v>
      </c>
      <c r="H447" t="s">
        <v>120</v>
      </c>
      <c r="I447" t="s">
        <v>125</v>
      </c>
    </row>
    <row r="448" spans="1:9" x14ac:dyDescent="0.25">
      <c r="A448" s="4" t="str">
        <f>"4905"</f>
        <v>4905</v>
      </c>
      <c r="B448" s="4" t="s">
        <v>852</v>
      </c>
      <c r="C448" t="s">
        <v>423</v>
      </c>
      <c r="D448" t="s">
        <v>853</v>
      </c>
      <c r="E448" t="str">
        <f>"256 01"</f>
        <v>256 01</v>
      </c>
      <c r="F448" t="s">
        <v>854</v>
      </c>
      <c r="G448" t="s">
        <v>201</v>
      </c>
      <c r="H448" t="s">
        <v>120</v>
      </c>
      <c r="I448" t="s">
        <v>125</v>
      </c>
    </row>
    <row r="449" spans="1:9" x14ac:dyDescent="0.25">
      <c r="A449" s="4" t="str">
        <f>"5005"</f>
        <v>5005</v>
      </c>
      <c r="B449" s="4" t="s">
        <v>855</v>
      </c>
      <c r="C449" t="s">
        <v>856</v>
      </c>
      <c r="D449" t="s">
        <v>857</v>
      </c>
      <c r="E449" t="str">
        <f>"257 23"</f>
        <v>257 23</v>
      </c>
      <c r="F449" t="s">
        <v>858</v>
      </c>
      <c r="G449" t="s">
        <v>201</v>
      </c>
      <c r="H449" t="s">
        <v>120</v>
      </c>
      <c r="I449" t="s">
        <v>125</v>
      </c>
    </row>
    <row r="450" spans="1:9" x14ac:dyDescent="0.25">
      <c r="A450" s="4" t="str">
        <f>"5151"</f>
        <v>5151</v>
      </c>
      <c r="B450" s="4" t="s">
        <v>859</v>
      </c>
      <c r="C450" t="s">
        <v>860</v>
      </c>
      <c r="D450" t="s">
        <v>861</v>
      </c>
      <c r="E450" t="str">
        <f>"257 06"</f>
        <v>257 06</v>
      </c>
      <c r="F450" t="s">
        <v>862</v>
      </c>
      <c r="G450" t="s">
        <v>201</v>
      </c>
      <c r="H450" t="s">
        <v>120</v>
      </c>
      <c r="I450" t="s">
        <v>125</v>
      </c>
    </row>
    <row r="451" spans="1:9" x14ac:dyDescent="0.25">
      <c r="A451" s="4" t="str">
        <f>"5264"</f>
        <v>5264</v>
      </c>
      <c r="B451" s="4" t="s">
        <v>863</v>
      </c>
      <c r="C451" t="s">
        <v>864</v>
      </c>
      <c r="D451" t="s">
        <v>865</v>
      </c>
      <c r="E451" t="str">
        <f>"257 26"</f>
        <v>257 26</v>
      </c>
      <c r="F451" t="s">
        <v>866</v>
      </c>
      <c r="G451" t="s">
        <v>201</v>
      </c>
      <c r="H451" t="s">
        <v>120</v>
      </c>
      <c r="I451" t="s">
        <v>125</v>
      </c>
    </row>
    <row r="452" spans="1:9" x14ac:dyDescent="0.25">
      <c r="A452" s="4" t="str">
        <f>"5285"</f>
        <v>5285</v>
      </c>
      <c r="B452" s="4" t="s">
        <v>867</v>
      </c>
      <c r="C452" t="s">
        <v>868</v>
      </c>
      <c r="D452" t="s">
        <v>869</v>
      </c>
      <c r="E452" t="str">
        <f>"257 65"</f>
        <v>257 65</v>
      </c>
      <c r="F452" t="s">
        <v>870</v>
      </c>
      <c r="G452" t="s">
        <v>201</v>
      </c>
      <c r="H452" t="s">
        <v>120</v>
      </c>
      <c r="I452" t="s">
        <v>125</v>
      </c>
    </row>
    <row r="453" spans="1:9" x14ac:dyDescent="0.25">
      <c r="A453" s="4" t="str">
        <f>"5673"</f>
        <v>5673</v>
      </c>
      <c r="B453" s="4" t="s">
        <v>871</v>
      </c>
      <c r="C453" t="s">
        <v>872</v>
      </c>
      <c r="D453" t="s">
        <v>873</v>
      </c>
      <c r="E453" t="str">
        <f>"257 41"</f>
        <v>257 41</v>
      </c>
      <c r="F453" t="s">
        <v>874</v>
      </c>
      <c r="G453" t="s">
        <v>201</v>
      </c>
      <c r="H453" t="s">
        <v>120</v>
      </c>
      <c r="I453" t="s">
        <v>125</v>
      </c>
    </row>
    <row r="454" spans="1:9" x14ac:dyDescent="0.25">
      <c r="A454" s="4" t="str">
        <f>"5674"</f>
        <v>5674</v>
      </c>
      <c r="B454" s="4" t="s">
        <v>875</v>
      </c>
      <c r="C454" t="s">
        <v>876</v>
      </c>
      <c r="D454" t="s">
        <v>877</v>
      </c>
      <c r="E454" t="str">
        <f>"257 06"</f>
        <v>257 06</v>
      </c>
      <c r="F454" t="s">
        <v>878</v>
      </c>
      <c r="G454" t="s">
        <v>201</v>
      </c>
      <c r="H454" t="s">
        <v>120</v>
      </c>
      <c r="I454" t="s">
        <v>125</v>
      </c>
    </row>
    <row r="455" spans="1:9" x14ac:dyDescent="0.25">
      <c r="A455" s="4" t="str">
        <f>"5675"</f>
        <v>5675</v>
      </c>
      <c r="B455" s="4" t="s">
        <v>879</v>
      </c>
      <c r="C455" t="s">
        <v>880</v>
      </c>
      <c r="D455" t="s">
        <v>881</v>
      </c>
      <c r="E455" t="str">
        <f>"257 89"</f>
        <v>257 89</v>
      </c>
      <c r="F455" t="s">
        <v>882</v>
      </c>
      <c r="G455" t="s">
        <v>201</v>
      </c>
      <c r="H455" t="s">
        <v>120</v>
      </c>
      <c r="I455" t="s">
        <v>125</v>
      </c>
    </row>
    <row r="456" spans="1:9" x14ac:dyDescent="0.25">
      <c r="A456" s="4" t="str">
        <f>"5726"</f>
        <v>5726</v>
      </c>
      <c r="B456" s="4" t="s">
        <v>883</v>
      </c>
      <c r="C456" t="s">
        <v>884</v>
      </c>
      <c r="D456" t="s">
        <v>885</v>
      </c>
      <c r="E456" t="str">
        <f>"257 56"</f>
        <v>257 56</v>
      </c>
      <c r="F456" t="s">
        <v>886</v>
      </c>
      <c r="G456" t="s">
        <v>201</v>
      </c>
      <c r="H456" t="s">
        <v>120</v>
      </c>
      <c r="I456" t="s">
        <v>125</v>
      </c>
    </row>
    <row r="457" spans="1:9" x14ac:dyDescent="0.25">
      <c r="A457" s="4" t="str">
        <f>"5747"</f>
        <v>5747</v>
      </c>
      <c r="B457" s="4" t="s">
        <v>887</v>
      </c>
      <c r="C457" t="s">
        <v>888</v>
      </c>
      <c r="D457" t="s">
        <v>889</v>
      </c>
      <c r="E457" t="str">
        <f>"251 67"</f>
        <v>251 67</v>
      </c>
      <c r="F457" t="s">
        <v>890</v>
      </c>
      <c r="G457" t="s">
        <v>201</v>
      </c>
      <c r="H457" t="s">
        <v>120</v>
      </c>
      <c r="I457" t="s">
        <v>125</v>
      </c>
    </row>
    <row r="458" spans="1:9" x14ac:dyDescent="0.25">
      <c r="A458" s="4" t="str">
        <f>"5807"</f>
        <v>5807</v>
      </c>
      <c r="B458" s="4" t="s">
        <v>891</v>
      </c>
      <c r="C458" t="s">
        <v>892</v>
      </c>
      <c r="D458" t="s">
        <v>893</v>
      </c>
      <c r="E458" t="str">
        <f>"257 06"</f>
        <v>257 06</v>
      </c>
      <c r="F458" t="s">
        <v>894</v>
      </c>
      <c r="G458" t="s">
        <v>201</v>
      </c>
      <c r="H458" t="s">
        <v>120</v>
      </c>
      <c r="I458" t="s">
        <v>125</v>
      </c>
    </row>
    <row r="459" spans="1:9" x14ac:dyDescent="0.25">
      <c r="A459" s="4" t="str">
        <f>"5885"</f>
        <v>5885</v>
      </c>
      <c r="B459" s="4" t="s">
        <v>895</v>
      </c>
      <c r="C459" t="s">
        <v>896</v>
      </c>
      <c r="D459" t="s">
        <v>897</v>
      </c>
      <c r="E459" t="str">
        <f>"259 01"</f>
        <v>259 01</v>
      </c>
      <c r="F459" t="s">
        <v>898</v>
      </c>
      <c r="G459" t="s">
        <v>201</v>
      </c>
      <c r="H459" t="s">
        <v>120</v>
      </c>
      <c r="I459" t="s">
        <v>125</v>
      </c>
    </row>
    <row r="460" spans="1:9" x14ac:dyDescent="0.25">
      <c r="A460" s="4" t="str">
        <f>"2722"</f>
        <v>2722</v>
      </c>
      <c r="B460" s="4" t="s">
        <v>899</v>
      </c>
      <c r="C460" t="s">
        <v>900</v>
      </c>
      <c r="D460" t="s">
        <v>901</v>
      </c>
      <c r="E460" t="str">
        <f>"257 41"</f>
        <v>257 41</v>
      </c>
      <c r="F460" t="s">
        <v>901</v>
      </c>
      <c r="G460" t="s">
        <v>201</v>
      </c>
      <c r="H460" t="s">
        <v>120</v>
      </c>
      <c r="I460" t="s">
        <v>125</v>
      </c>
    </row>
    <row r="461" spans="1:9" x14ac:dyDescent="0.25">
      <c r="A461" s="4" t="str">
        <f>"1708"</f>
        <v>1708</v>
      </c>
      <c r="B461" s="4" t="s">
        <v>1885</v>
      </c>
      <c r="C461" t="s">
        <v>1886</v>
      </c>
      <c r="D461" t="s">
        <v>1887</v>
      </c>
      <c r="E461" t="str">
        <f>"284 01"</f>
        <v>284 01</v>
      </c>
      <c r="F461" t="s">
        <v>1888</v>
      </c>
      <c r="G461" t="s">
        <v>201</v>
      </c>
      <c r="H461" t="s">
        <v>120</v>
      </c>
      <c r="I461" t="s">
        <v>125</v>
      </c>
    </row>
    <row r="462" spans="1:9" x14ac:dyDescent="0.25">
      <c r="A462" s="4" t="str">
        <f>"2796"</f>
        <v>2796</v>
      </c>
      <c r="B462" s="4" t="s">
        <v>1889</v>
      </c>
      <c r="C462" t="s">
        <v>1890</v>
      </c>
      <c r="D462" t="s">
        <v>1891</v>
      </c>
      <c r="E462" t="str">
        <f>"284 01"</f>
        <v>284 01</v>
      </c>
      <c r="F462" t="s">
        <v>1892</v>
      </c>
      <c r="G462" t="s">
        <v>201</v>
      </c>
      <c r="H462" t="s">
        <v>120</v>
      </c>
      <c r="I462" t="s">
        <v>125</v>
      </c>
    </row>
    <row r="463" spans="1:9" x14ac:dyDescent="0.25">
      <c r="A463" s="4" t="str">
        <f>"4201"</f>
        <v>4201</v>
      </c>
      <c r="B463" s="4" t="s">
        <v>1893</v>
      </c>
      <c r="C463" t="s">
        <v>1894</v>
      </c>
      <c r="D463" t="s">
        <v>1895</v>
      </c>
      <c r="E463" t="str">
        <f>"284 01"</f>
        <v>284 01</v>
      </c>
      <c r="F463" t="s">
        <v>1896</v>
      </c>
      <c r="G463" t="s">
        <v>201</v>
      </c>
      <c r="H463" t="s">
        <v>120</v>
      </c>
      <c r="I463" t="s">
        <v>125</v>
      </c>
    </row>
    <row r="464" spans="1:9" x14ac:dyDescent="0.25">
      <c r="A464" s="4" t="str">
        <f>"4202"</f>
        <v>4202</v>
      </c>
      <c r="B464" s="4" t="s">
        <v>1897</v>
      </c>
      <c r="C464" t="s">
        <v>1898</v>
      </c>
      <c r="D464" t="s">
        <v>1899</v>
      </c>
      <c r="E464" t="str">
        <f>"284 01"</f>
        <v>284 01</v>
      </c>
      <c r="F464" t="s">
        <v>1900</v>
      </c>
      <c r="G464" t="s">
        <v>201</v>
      </c>
      <c r="H464" t="s">
        <v>120</v>
      </c>
      <c r="I464" t="s">
        <v>125</v>
      </c>
    </row>
    <row r="465" spans="1:9" x14ac:dyDescent="0.25">
      <c r="A465" s="4" t="str">
        <f>"4738"</f>
        <v>4738</v>
      </c>
      <c r="B465" s="4" t="s">
        <v>1901</v>
      </c>
      <c r="C465" t="s">
        <v>1902</v>
      </c>
      <c r="D465" t="s">
        <v>1903</v>
      </c>
      <c r="E465" t="str">
        <f>"284 01"</f>
        <v>284 01</v>
      </c>
      <c r="F465" t="s">
        <v>1904</v>
      </c>
      <c r="G465" t="s">
        <v>201</v>
      </c>
      <c r="H465" t="s">
        <v>120</v>
      </c>
      <c r="I465" t="s">
        <v>125</v>
      </c>
    </row>
    <row r="466" spans="1:9" x14ac:dyDescent="0.25">
      <c r="A466" s="4" t="str">
        <f>"2002/2002"</f>
        <v>2002/2002</v>
      </c>
      <c r="B466" s="4" t="s">
        <v>1905</v>
      </c>
      <c r="C466" t="s">
        <v>738</v>
      </c>
      <c r="D466" t="s">
        <v>1906</v>
      </c>
      <c r="E466" t="str">
        <f>"285 21"</f>
        <v>285 21</v>
      </c>
      <c r="F466" t="s">
        <v>1907</v>
      </c>
      <c r="G466" t="s">
        <v>201</v>
      </c>
      <c r="H466" t="s">
        <v>120</v>
      </c>
      <c r="I466" t="s">
        <v>125</v>
      </c>
    </row>
    <row r="467" spans="1:9" x14ac:dyDescent="0.25">
      <c r="A467" s="4" t="str">
        <f>"2204"</f>
        <v>2204</v>
      </c>
      <c r="B467" s="4" t="s">
        <v>1908</v>
      </c>
      <c r="C467" t="s">
        <v>1909</v>
      </c>
      <c r="D467" t="s">
        <v>1910</v>
      </c>
      <c r="E467" t="str">
        <f>"285 04"</f>
        <v>285 04</v>
      </c>
      <c r="F467" t="s">
        <v>1911</v>
      </c>
      <c r="G467" t="s">
        <v>201</v>
      </c>
      <c r="H467" t="s">
        <v>120</v>
      </c>
      <c r="I467" t="s">
        <v>125</v>
      </c>
    </row>
    <row r="468" spans="1:9" x14ac:dyDescent="0.25">
      <c r="A468" s="4" t="str">
        <f>"3353"</f>
        <v>3353</v>
      </c>
      <c r="B468" s="4" t="s">
        <v>1916</v>
      </c>
      <c r="C468" t="s">
        <v>1917</v>
      </c>
      <c r="D468" t="s">
        <v>1918</v>
      </c>
      <c r="E468" t="str">
        <f>"285 22"</f>
        <v>285 22</v>
      </c>
      <c r="F468" t="s">
        <v>1919</v>
      </c>
      <c r="G468" t="s">
        <v>201</v>
      </c>
      <c r="H468" t="s">
        <v>202</v>
      </c>
      <c r="I468" t="s">
        <v>125</v>
      </c>
    </row>
    <row r="469" spans="1:9" x14ac:dyDescent="0.25">
      <c r="A469" s="4" t="str">
        <f>"1873"</f>
        <v>1873</v>
      </c>
      <c r="B469" s="4" t="s">
        <v>1924</v>
      </c>
      <c r="C469" t="s">
        <v>1925</v>
      </c>
      <c r="D469" t="s">
        <v>1926</v>
      </c>
      <c r="E469" t="str">
        <f>"285 61"</f>
        <v>285 61</v>
      </c>
      <c r="F469" t="s">
        <v>1927</v>
      </c>
      <c r="G469" t="s">
        <v>201</v>
      </c>
      <c r="H469" t="s">
        <v>120</v>
      </c>
      <c r="I469" t="s">
        <v>125</v>
      </c>
    </row>
    <row r="470" spans="1:9" x14ac:dyDescent="0.25">
      <c r="A470" s="4" t="str">
        <f>"5956"</f>
        <v>5956</v>
      </c>
      <c r="B470" s="4" t="s">
        <v>1928</v>
      </c>
      <c r="C470" t="s">
        <v>1929</v>
      </c>
      <c r="D470" t="s">
        <v>1930</v>
      </c>
      <c r="E470" t="str">
        <f>"285 47"</f>
        <v>285 47</v>
      </c>
      <c r="F470" t="s">
        <v>1931</v>
      </c>
      <c r="G470" t="s">
        <v>201</v>
      </c>
      <c r="H470" t="s">
        <v>120</v>
      </c>
      <c r="I470" t="s">
        <v>125</v>
      </c>
    </row>
    <row r="471" spans="1:9" x14ac:dyDescent="0.25">
      <c r="A471" s="4" t="str">
        <f>"2921"</f>
        <v>2921</v>
      </c>
      <c r="B471" s="4" t="s">
        <v>1932</v>
      </c>
      <c r="C471" t="s">
        <v>1933</v>
      </c>
      <c r="D471" t="s">
        <v>1934</v>
      </c>
      <c r="E471" t="str">
        <f>"285 25"</f>
        <v>285 25</v>
      </c>
      <c r="F471" t="s">
        <v>1935</v>
      </c>
      <c r="G471" t="s">
        <v>201</v>
      </c>
      <c r="H471" t="s">
        <v>120</v>
      </c>
      <c r="I471" t="s">
        <v>125</v>
      </c>
    </row>
    <row r="472" spans="1:9" x14ac:dyDescent="0.25">
      <c r="A472" s="4" t="str">
        <f>"66"</f>
        <v>66</v>
      </c>
      <c r="B472" s="4" t="s">
        <v>1936</v>
      </c>
      <c r="C472" t="s">
        <v>1937</v>
      </c>
      <c r="D472" t="s">
        <v>1938</v>
      </c>
      <c r="E472" t="str">
        <f>"285 74"</f>
        <v>285 74</v>
      </c>
      <c r="F472" t="s">
        <v>1939</v>
      </c>
      <c r="G472" t="s">
        <v>201</v>
      </c>
      <c r="H472" t="s">
        <v>120</v>
      </c>
      <c r="I472" t="s">
        <v>125</v>
      </c>
    </row>
    <row r="473" spans="1:9" x14ac:dyDescent="0.25">
      <c r="A473" s="4" t="str">
        <f>"101"</f>
        <v>101</v>
      </c>
      <c r="B473" s="4" t="s">
        <v>1940</v>
      </c>
      <c r="C473" t="s">
        <v>1941</v>
      </c>
      <c r="D473" t="s">
        <v>1942</v>
      </c>
      <c r="E473" t="str">
        <f>"286 01"</f>
        <v>286 01</v>
      </c>
      <c r="F473" t="s">
        <v>1943</v>
      </c>
      <c r="G473" t="s">
        <v>201</v>
      </c>
      <c r="H473" t="s">
        <v>120</v>
      </c>
      <c r="I473" t="s">
        <v>125</v>
      </c>
    </row>
    <row r="474" spans="1:9" x14ac:dyDescent="0.25">
      <c r="A474" s="4" t="str">
        <f>"778"</f>
        <v>778</v>
      </c>
      <c r="B474" s="4" t="s">
        <v>1944</v>
      </c>
      <c r="C474" t="s">
        <v>1945</v>
      </c>
      <c r="D474" t="s">
        <v>1946</v>
      </c>
      <c r="E474" t="str">
        <f>"285 64"</f>
        <v>285 64</v>
      </c>
      <c r="F474" t="s">
        <v>1947</v>
      </c>
      <c r="G474" t="s">
        <v>201</v>
      </c>
      <c r="H474" t="s">
        <v>120</v>
      </c>
      <c r="I474" t="s">
        <v>125</v>
      </c>
    </row>
    <row r="475" spans="1:9" x14ac:dyDescent="0.25">
      <c r="A475" s="4" t="str">
        <f>"779"</f>
        <v>779</v>
      </c>
      <c r="B475" s="4" t="s">
        <v>1948</v>
      </c>
      <c r="C475" t="s">
        <v>1949</v>
      </c>
      <c r="D475" t="s">
        <v>1950</v>
      </c>
      <c r="E475" t="str">
        <f>"285 64"</f>
        <v>285 64</v>
      </c>
      <c r="F475" t="s">
        <v>1950</v>
      </c>
      <c r="G475" t="s">
        <v>201</v>
      </c>
      <c r="H475" t="s">
        <v>120</v>
      </c>
      <c r="I475" t="s">
        <v>125</v>
      </c>
    </row>
    <row r="476" spans="1:9" x14ac:dyDescent="0.25">
      <c r="A476" s="4" t="str">
        <f>"1140"</f>
        <v>1140</v>
      </c>
      <c r="B476" s="4" t="s">
        <v>1951</v>
      </c>
      <c r="C476" t="s">
        <v>1952</v>
      </c>
      <c r="D476" t="s">
        <v>1953</v>
      </c>
      <c r="E476" t="str">
        <f>"285 06"</f>
        <v>285 06</v>
      </c>
      <c r="F476" t="s">
        <v>1954</v>
      </c>
      <c r="G476" t="s">
        <v>201</v>
      </c>
      <c r="H476" t="s">
        <v>120</v>
      </c>
      <c r="I476" t="s">
        <v>125</v>
      </c>
    </row>
    <row r="477" spans="1:9" x14ac:dyDescent="0.25">
      <c r="A477" s="4" t="str">
        <f>"1215"</f>
        <v>1215</v>
      </c>
      <c r="B477" s="4" t="s">
        <v>1955</v>
      </c>
      <c r="C477" t="s">
        <v>1956</v>
      </c>
      <c r="D477" t="s">
        <v>1957</v>
      </c>
      <c r="E477" t="str">
        <f>"285 42"</f>
        <v>285 42</v>
      </c>
      <c r="F477" t="s">
        <v>1958</v>
      </c>
      <c r="G477" t="s">
        <v>201</v>
      </c>
      <c r="H477" t="s">
        <v>120</v>
      </c>
      <c r="I477" t="s">
        <v>125</v>
      </c>
    </row>
    <row r="478" spans="1:9" x14ac:dyDescent="0.25">
      <c r="A478" s="4" t="str">
        <f>"1398"</f>
        <v>1398</v>
      </c>
      <c r="B478" s="4" t="s">
        <v>1959</v>
      </c>
      <c r="C478" t="s">
        <v>1960</v>
      </c>
      <c r="D478" t="s">
        <v>1961</v>
      </c>
      <c r="E478" t="str">
        <f>"285 41"</f>
        <v>285 41</v>
      </c>
      <c r="F478" t="s">
        <v>1962</v>
      </c>
      <c r="G478" t="s">
        <v>201</v>
      </c>
      <c r="H478" t="s">
        <v>120</v>
      </c>
      <c r="I478" t="s">
        <v>125</v>
      </c>
    </row>
    <row r="479" spans="1:9" x14ac:dyDescent="0.25">
      <c r="A479" s="4" t="str">
        <f>"1984"</f>
        <v>1984</v>
      </c>
      <c r="B479" s="4" t="s">
        <v>1963</v>
      </c>
      <c r="C479" t="s">
        <v>1964</v>
      </c>
      <c r="D479" t="s">
        <v>1965</v>
      </c>
      <c r="E479" t="str">
        <f>"285 65"</f>
        <v>285 65</v>
      </c>
      <c r="F479" t="s">
        <v>1966</v>
      </c>
      <c r="G479" t="s">
        <v>201</v>
      </c>
      <c r="H479" t="s">
        <v>120</v>
      </c>
      <c r="I479" t="s">
        <v>125</v>
      </c>
    </row>
    <row r="480" spans="1:9" x14ac:dyDescent="0.25">
      <c r="A480" s="4" t="str">
        <f>"2011"</f>
        <v>2011</v>
      </c>
      <c r="B480" s="4" t="s">
        <v>1967</v>
      </c>
      <c r="C480" t="s">
        <v>1968</v>
      </c>
      <c r="D480" t="s">
        <v>1969</v>
      </c>
      <c r="E480" t="str">
        <f>"286 01"</f>
        <v>286 01</v>
      </c>
      <c r="F480" t="s">
        <v>1970</v>
      </c>
      <c r="G480" t="s">
        <v>201</v>
      </c>
      <c r="H480" t="s">
        <v>120</v>
      </c>
      <c r="I480" t="s">
        <v>125</v>
      </c>
    </row>
    <row r="481" spans="1:9" x14ac:dyDescent="0.25">
      <c r="A481" s="4" t="str">
        <f>"2631"</f>
        <v>2631</v>
      </c>
      <c r="B481" s="4" t="s">
        <v>1971</v>
      </c>
      <c r="C481" t="s">
        <v>1972</v>
      </c>
      <c r="D481" t="s">
        <v>1973</v>
      </c>
      <c r="E481" t="str">
        <f>"285 72"</f>
        <v>285 72</v>
      </c>
      <c r="F481" t="s">
        <v>1974</v>
      </c>
      <c r="G481" t="s">
        <v>201</v>
      </c>
      <c r="H481" t="s">
        <v>120</v>
      </c>
      <c r="I481" t="s">
        <v>125</v>
      </c>
    </row>
    <row r="482" spans="1:9" x14ac:dyDescent="0.25">
      <c r="A482" s="4" t="str">
        <f>"2770"</f>
        <v>2770</v>
      </c>
      <c r="B482" s="4" t="s">
        <v>1975</v>
      </c>
      <c r="C482" t="s">
        <v>1976</v>
      </c>
      <c r="D482" t="s">
        <v>1977</v>
      </c>
      <c r="E482" t="str">
        <f>"285 31"</f>
        <v>285 31</v>
      </c>
      <c r="F482" t="s">
        <v>1978</v>
      </c>
      <c r="G482" t="s">
        <v>201</v>
      </c>
      <c r="H482" t="s">
        <v>120</v>
      </c>
      <c r="I482" t="s">
        <v>125</v>
      </c>
    </row>
    <row r="483" spans="1:9" x14ac:dyDescent="0.25">
      <c r="A483" s="4" t="str">
        <f>"2804"</f>
        <v>2804</v>
      </c>
      <c r="B483" s="4" t="s">
        <v>1979</v>
      </c>
      <c r="C483" t="s">
        <v>1980</v>
      </c>
      <c r="D483" t="s">
        <v>1981</v>
      </c>
      <c r="E483" t="str">
        <f>"285 76"</f>
        <v>285 76</v>
      </c>
      <c r="F483" t="s">
        <v>1982</v>
      </c>
      <c r="G483" t="s">
        <v>201</v>
      </c>
      <c r="H483" t="s">
        <v>120</v>
      </c>
      <c r="I483" t="s">
        <v>125</v>
      </c>
    </row>
    <row r="484" spans="1:9" x14ac:dyDescent="0.25">
      <c r="A484" s="4" t="str">
        <f>"2868"</f>
        <v>2868</v>
      </c>
      <c r="B484" s="4" t="s">
        <v>1983</v>
      </c>
      <c r="C484" t="s">
        <v>1984</v>
      </c>
      <c r="D484" t="s">
        <v>1985</v>
      </c>
      <c r="E484" t="str">
        <f>"286 01"</f>
        <v>286 01</v>
      </c>
      <c r="F484" t="s">
        <v>1986</v>
      </c>
      <c r="G484" t="s">
        <v>201</v>
      </c>
      <c r="H484" t="s">
        <v>120</v>
      </c>
      <c r="I484" t="s">
        <v>125</v>
      </c>
    </row>
    <row r="485" spans="1:9" x14ac:dyDescent="0.25">
      <c r="A485" s="4" t="str">
        <f>"2936"</f>
        <v>2936</v>
      </c>
      <c r="B485" s="4" t="s">
        <v>1987</v>
      </c>
      <c r="C485" t="s">
        <v>1988</v>
      </c>
      <c r="D485" t="s">
        <v>1989</v>
      </c>
      <c r="E485" t="str">
        <f>"285 10"</f>
        <v>285 10</v>
      </c>
      <c r="F485" t="s">
        <v>1990</v>
      </c>
      <c r="G485" t="s">
        <v>201</v>
      </c>
      <c r="H485" t="s">
        <v>120</v>
      </c>
      <c r="I485" t="s">
        <v>125</v>
      </c>
    </row>
    <row r="486" spans="1:9" x14ac:dyDescent="0.25">
      <c r="A486" s="4" t="str">
        <f>"3016"</f>
        <v>3016</v>
      </c>
      <c r="B486" s="4" t="s">
        <v>1991</v>
      </c>
      <c r="C486" t="s">
        <v>1992</v>
      </c>
      <c r="D486" t="s">
        <v>1993</v>
      </c>
      <c r="E486" t="str">
        <f>"285 01"</f>
        <v>285 01</v>
      </c>
      <c r="F486" t="s">
        <v>1994</v>
      </c>
      <c r="G486" t="s">
        <v>201</v>
      </c>
      <c r="H486" t="s">
        <v>120</v>
      </c>
      <c r="I486" t="s">
        <v>125</v>
      </c>
    </row>
    <row r="487" spans="1:9" x14ac:dyDescent="0.25">
      <c r="A487" s="4" t="str">
        <f>"3073"</f>
        <v>3073</v>
      </c>
      <c r="B487" s="4" t="s">
        <v>1995</v>
      </c>
      <c r="C487" t="s">
        <v>1996</v>
      </c>
      <c r="D487" t="s">
        <v>1997</v>
      </c>
      <c r="E487" t="str">
        <f>"286 01"</f>
        <v>286 01</v>
      </c>
      <c r="F487" t="s">
        <v>1998</v>
      </c>
      <c r="G487" t="s">
        <v>201</v>
      </c>
      <c r="H487" t="s">
        <v>120</v>
      </c>
      <c r="I487" t="s">
        <v>125</v>
      </c>
    </row>
    <row r="488" spans="1:9" x14ac:dyDescent="0.25">
      <c r="A488" s="4" t="str">
        <f>"3260"</f>
        <v>3260</v>
      </c>
      <c r="B488" s="4" t="s">
        <v>1999</v>
      </c>
      <c r="C488" t="s">
        <v>2000</v>
      </c>
      <c r="D488" t="s">
        <v>2001</v>
      </c>
      <c r="E488" t="str">
        <f>"286 01"</f>
        <v>286 01</v>
      </c>
      <c r="F488" t="s">
        <v>2002</v>
      </c>
      <c r="G488" t="s">
        <v>201</v>
      </c>
      <c r="H488" t="s">
        <v>120</v>
      </c>
      <c r="I488" t="s">
        <v>125</v>
      </c>
    </row>
    <row r="489" spans="1:9" x14ac:dyDescent="0.25">
      <c r="A489" s="4" t="str">
        <f>"3397"</f>
        <v>3397</v>
      </c>
      <c r="B489" s="4" t="s">
        <v>2003</v>
      </c>
      <c r="C489" t="s">
        <v>2004</v>
      </c>
      <c r="D489" t="s">
        <v>2005</v>
      </c>
      <c r="E489" t="str">
        <f>"285 63"</f>
        <v>285 63</v>
      </c>
      <c r="F489" t="s">
        <v>2006</v>
      </c>
      <c r="G489" t="s">
        <v>201</v>
      </c>
      <c r="H489" t="s">
        <v>120</v>
      </c>
      <c r="I489" t="s">
        <v>125</v>
      </c>
    </row>
    <row r="490" spans="1:9" x14ac:dyDescent="0.25">
      <c r="A490" s="4" t="str">
        <f>"3596"</f>
        <v>3596</v>
      </c>
      <c r="B490" s="4" t="s">
        <v>2007</v>
      </c>
      <c r="C490" t="s">
        <v>2008</v>
      </c>
      <c r="D490" t="s">
        <v>2009</v>
      </c>
      <c r="E490" t="str">
        <f>"285 22"</f>
        <v>285 22</v>
      </c>
      <c r="F490" t="s">
        <v>2010</v>
      </c>
      <c r="G490" t="s">
        <v>201</v>
      </c>
      <c r="H490" t="s">
        <v>120</v>
      </c>
      <c r="I490" t="s">
        <v>125</v>
      </c>
    </row>
    <row r="491" spans="1:9" x14ac:dyDescent="0.25">
      <c r="A491" s="4" t="str">
        <f>"3598"</f>
        <v>3598</v>
      </c>
      <c r="B491" s="4" t="s">
        <v>2011</v>
      </c>
      <c r="C491" t="s">
        <v>2012</v>
      </c>
      <c r="D491" t="s">
        <v>2013</v>
      </c>
      <c r="E491" t="str">
        <f>"286 01"</f>
        <v>286 01</v>
      </c>
      <c r="F491" t="s">
        <v>2014</v>
      </c>
      <c r="G491" t="s">
        <v>201</v>
      </c>
      <c r="H491" t="s">
        <v>120</v>
      </c>
      <c r="I491" t="s">
        <v>125</v>
      </c>
    </row>
    <row r="492" spans="1:9" x14ac:dyDescent="0.25">
      <c r="A492" s="4" t="str">
        <f>"3620"</f>
        <v>3620</v>
      </c>
      <c r="B492" s="4" t="s">
        <v>2015</v>
      </c>
      <c r="C492" t="s">
        <v>2016</v>
      </c>
      <c r="D492" t="s">
        <v>2017</v>
      </c>
      <c r="E492" t="str">
        <f>"286 01"</f>
        <v>286 01</v>
      </c>
      <c r="F492" t="s">
        <v>2018</v>
      </c>
      <c r="G492" t="s">
        <v>201</v>
      </c>
      <c r="H492" t="s">
        <v>120</v>
      </c>
      <c r="I492" t="s">
        <v>125</v>
      </c>
    </row>
    <row r="493" spans="1:9" x14ac:dyDescent="0.25">
      <c r="A493" s="4" t="str">
        <f>"3637"</f>
        <v>3637</v>
      </c>
      <c r="B493" s="4" t="s">
        <v>2019</v>
      </c>
      <c r="C493" t="s">
        <v>2020</v>
      </c>
      <c r="D493" t="s">
        <v>2021</v>
      </c>
      <c r="E493" t="str">
        <f>"286 01"</f>
        <v>286 01</v>
      </c>
      <c r="F493" t="s">
        <v>2022</v>
      </c>
      <c r="G493" t="s">
        <v>201</v>
      </c>
      <c r="H493" t="s">
        <v>120</v>
      </c>
      <c r="I493" t="s">
        <v>125</v>
      </c>
    </row>
    <row r="494" spans="1:9" x14ac:dyDescent="0.25">
      <c r="A494" s="4" t="str">
        <f>"3858"</f>
        <v>3858</v>
      </c>
      <c r="B494" s="4" t="s">
        <v>2023</v>
      </c>
      <c r="C494" t="s">
        <v>2024</v>
      </c>
      <c r="D494" t="s">
        <v>2025</v>
      </c>
      <c r="E494" t="str">
        <f>"285 63"</f>
        <v>285 63</v>
      </c>
      <c r="F494" t="s">
        <v>2026</v>
      </c>
      <c r="G494" t="s">
        <v>201</v>
      </c>
      <c r="H494" t="s">
        <v>120</v>
      </c>
      <c r="I494" t="s">
        <v>125</v>
      </c>
    </row>
    <row r="495" spans="1:9" x14ac:dyDescent="0.25">
      <c r="A495" s="4" t="str">
        <f>"3879"</f>
        <v>3879</v>
      </c>
      <c r="B495" s="4" t="s">
        <v>2027</v>
      </c>
      <c r="C495" t="s">
        <v>2028</v>
      </c>
      <c r="D495" t="s">
        <v>2029</v>
      </c>
      <c r="E495" t="str">
        <f>"285 22"</f>
        <v>285 22</v>
      </c>
      <c r="F495" t="s">
        <v>2030</v>
      </c>
      <c r="G495" t="s">
        <v>201</v>
      </c>
      <c r="H495" t="s">
        <v>120</v>
      </c>
      <c r="I495" t="s">
        <v>125</v>
      </c>
    </row>
    <row r="496" spans="1:9" x14ac:dyDescent="0.25">
      <c r="A496" s="4" t="str">
        <f>"4096"</f>
        <v>4096</v>
      </c>
      <c r="B496" s="4" t="s">
        <v>2031</v>
      </c>
      <c r="C496" t="s">
        <v>2032</v>
      </c>
      <c r="D496" t="s">
        <v>2033</v>
      </c>
      <c r="E496" t="str">
        <f>"286 01"</f>
        <v>286 01</v>
      </c>
      <c r="F496" t="s">
        <v>2034</v>
      </c>
      <c r="G496" t="s">
        <v>201</v>
      </c>
      <c r="H496" t="s">
        <v>120</v>
      </c>
      <c r="I496" t="s">
        <v>125</v>
      </c>
    </row>
    <row r="497" spans="1:9" x14ac:dyDescent="0.25">
      <c r="A497" s="4" t="str">
        <f>"4173"</f>
        <v>4173</v>
      </c>
      <c r="B497" s="4" t="s">
        <v>2035</v>
      </c>
      <c r="C497" t="s">
        <v>2036</v>
      </c>
      <c r="D497" t="s">
        <v>2037</v>
      </c>
      <c r="E497" t="str">
        <f>"285 09"</f>
        <v>285 09</v>
      </c>
      <c r="F497" t="s">
        <v>2038</v>
      </c>
      <c r="G497" t="s">
        <v>201</v>
      </c>
      <c r="H497" t="s">
        <v>120</v>
      </c>
      <c r="I497" t="s">
        <v>125</v>
      </c>
    </row>
    <row r="498" spans="1:9" x14ac:dyDescent="0.25">
      <c r="A498" s="4" t="str">
        <f>"4204"</f>
        <v>4204</v>
      </c>
      <c r="B498" s="4" t="s">
        <v>2039</v>
      </c>
      <c r="C498" t="s">
        <v>2040</v>
      </c>
      <c r="D498" t="s">
        <v>2041</v>
      </c>
      <c r="E498" t="str">
        <f>"285 43"</f>
        <v>285 43</v>
      </c>
      <c r="F498" t="s">
        <v>2042</v>
      </c>
      <c r="G498" t="s">
        <v>201</v>
      </c>
      <c r="H498" t="s">
        <v>120</v>
      </c>
      <c r="I498" t="s">
        <v>125</v>
      </c>
    </row>
    <row r="499" spans="1:9" x14ac:dyDescent="0.25">
      <c r="A499" s="4" t="str">
        <f>"4206"</f>
        <v>4206</v>
      </c>
      <c r="B499" s="4" t="s">
        <v>2043</v>
      </c>
      <c r="C499" t="s">
        <v>2044</v>
      </c>
      <c r="D499" t="s">
        <v>2045</v>
      </c>
      <c r="E499" t="str">
        <f>"285 33"</f>
        <v>285 33</v>
      </c>
      <c r="F499" t="s">
        <v>2046</v>
      </c>
      <c r="G499" t="s">
        <v>201</v>
      </c>
      <c r="H499" t="s">
        <v>120</v>
      </c>
      <c r="I499" t="s">
        <v>125</v>
      </c>
    </row>
    <row r="500" spans="1:9" x14ac:dyDescent="0.25">
      <c r="A500" s="4" t="str">
        <f>"4239"</f>
        <v>4239</v>
      </c>
      <c r="B500" s="4" t="s">
        <v>2047</v>
      </c>
      <c r="C500" t="s">
        <v>2048</v>
      </c>
      <c r="D500" t="s">
        <v>2049</v>
      </c>
      <c r="E500" t="str">
        <f>"285 42"</f>
        <v>285 42</v>
      </c>
      <c r="F500" t="s">
        <v>2050</v>
      </c>
      <c r="G500" t="s">
        <v>201</v>
      </c>
      <c r="H500" t="s">
        <v>120</v>
      </c>
      <c r="I500" t="s">
        <v>125</v>
      </c>
    </row>
    <row r="501" spans="1:9" x14ac:dyDescent="0.25">
      <c r="A501" s="4" t="str">
        <f>"4303"</f>
        <v>4303</v>
      </c>
      <c r="B501" s="4" t="s">
        <v>2051</v>
      </c>
      <c r="C501" t="s">
        <v>2052</v>
      </c>
      <c r="D501" t="s">
        <v>2053</v>
      </c>
      <c r="E501" t="str">
        <f>"286 01"</f>
        <v>286 01</v>
      </c>
      <c r="F501" t="s">
        <v>2054</v>
      </c>
      <c r="G501" t="s">
        <v>201</v>
      </c>
      <c r="H501" t="s">
        <v>120</v>
      </c>
      <c r="I501" t="s">
        <v>125</v>
      </c>
    </row>
    <row r="502" spans="1:9" x14ac:dyDescent="0.25">
      <c r="A502" s="4" t="str">
        <f>"4397"</f>
        <v>4397</v>
      </c>
      <c r="B502" s="4" t="s">
        <v>2055</v>
      </c>
      <c r="C502" t="s">
        <v>2056</v>
      </c>
      <c r="D502" t="s">
        <v>2057</v>
      </c>
      <c r="E502" t="str">
        <f>"285 04"</f>
        <v>285 04</v>
      </c>
      <c r="F502" t="s">
        <v>2058</v>
      </c>
      <c r="G502" t="s">
        <v>201</v>
      </c>
      <c r="H502" t="s">
        <v>120</v>
      </c>
      <c r="I502" t="s">
        <v>125</v>
      </c>
    </row>
    <row r="503" spans="1:9" x14ac:dyDescent="0.25">
      <c r="A503" s="4" t="str">
        <f>"4401"</f>
        <v>4401</v>
      </c>
      <c r="B503" s="4" t="s">
        <v>2059</v>
      </c>
      <c r="C503" t="s">
        <v>2060</v>
      </c>
      <c r="D503" t="s">
        <v>2061</v>
      </c>
      <c r="E503" t="str">
        <f>"285 75"</f>
        <v>285 75</v>
      </c>
      <c r="F503" t="s">
        <v>2062</v>
      </c>
      <c r="G503" t="s">
        <v>201</v>
      </c>
      <c r="H503" t="s">
        <v>120</v>
      </c>
      <c r="I503" t="s">
        <v>125</v>
      </c>
    </row>
    <row r="504" spans="1:9" x14ac:dyDescent="0.25">
      <c r="A504" s="4" t="str">
        <f>"4491"</f>
        <v>4491</v>
      </c>
      <c r="B504" s="4" t="s">
        <v>2063</v>
      </c>
      <c r="C504" t="s">
        <v>2064</v>
      </c>
      <c r="D504" t="s">
        <v>2065</v>
      </c>
      <c r="E504" t="str">
        <f>"285 02"</f>
        <v>285 02</v>
      </c>
      <c r="F504" t="s">
        <v>2066</v>
      </c>
      <c r="G504" t="s">
        <v>201</v>
      </c>
      <c r="H504" t="s">
        <v>120</v>
      </c>
      <c r="I504" t="s">
        <v>125</v>
      </c>
    </row>
    <row r="505" spans="1:9" x14ac:dyDescent="0.25">
      <c r="A505" s="4" t="str">
        <f>"4536"</f>
        <v>4536</v>
      </c>
      <c r="B505" s="4" t="s">
        <v>2067</v>
      </c>
      <c r="C505" t="s">
        <v>2068</v>
      </c>
      <c r="D505" t="s">
        <v>2069</v>
      </c>
      <c r="E505" t="str">
        <f>"285 06"</f>
        <v>285 06</v>
      </c>
      <c r="F505" t="s">
        <v>2070</v>
      </c>
      <c r="G505" t="s">
        <v>201</v>
      </c>
      <c r="H505" t="s">
        <v>120</v>
      </c>
      <c r="I505" t="s">
        <v>125</v>
      </c>
    </row>
    <row r="506" spans="1:9" x14ac:dyDescent="0.25">
      <c r="A506" s="4" t="str">
        <f>"4674"</f>
        <v>4674</v>
      </c>
      <c r="B506" s="4" t="s">
        <v>2071</v>
      </c>
      <c r="C506" t="s">
        <v>2072</v>
      </c>
      <c r="D506" t="s">
        <v>2073</v>
      </c>
      <c r="E506" t="str">
        <f>"285 73"</f>
        <v>285 73</v>
      </c>
      <c r="F506" t="s">
        <v>2074</v>
      </c>
      <c r="G506" t="s">
        <v>201</v>
      </c>
      <c r="H506" t="s">
        <v>120</v>
      </c>
      <c r="I506" t="s">
        <v>125</v>
      </c>
    </row>
    <row r="507" spans="1:9" x14ac:dyDescent="0.25">
      <c r="A507" s="4" t="str">
        <f>"5363"</f>
        <v>5363</v>
      </c>
      <c r="B507" s="4" t="s">
        <v>2075</v>
      </c>
      <c r="C507" t="s">
        <v>2076</v>
      </c>
      <c r="D507" t="s">
        <v>2077</v>
      </c>
      <c r="E507" t="str">
        <f>"286 01"</f>
        <v>286 01</v>
      </c>
      <c r="F507" t="s">
        <v>2078</v>
      </c>
      <c r="G507" t="s">
        <v>201</v>
      </c>
      <c r="H507" t="s">
        <v>120</v>
      </c>
      <c r="I507" t="s">
        <v>125</v>
      </c>
    </row>
    <row r="508" spans="1:9" x14ac:dyDescent="0.25">
      <c r="A508" s="4" t="str">
        <f>"5380"</f>
        <v>5380</v>
      </c>
      <c r="B508" s="4" t="s">
        <v>2079</v>
      </c>
      <c r="C508" t="s">
        <v>2080</v>
      </c>
      <c r="D508" t="s">
        <v>2081</v>
      </c>
      <c r="E508" t="str">
        <f>"286 01"</f>
        <v>286 01</v>
      </c>
      <c r="F508" t="s">
        <v>2082</v>
      </c>
      <c r="G508" t="s">
        <v>201</v>
      </c>
      <c r="H508" t="s">
        <v>120</v>
      </c>
      <c r="I508" t="s">
        <v>125</v>
      </c>
    </row>
    <row r="509" spans="1:9" x14ac:dyDescent="0.25">
      <c r="A509" s="4" t="str">
        <f>"5682"</f>
        <v>5682</v>
      </c>
      <c r="B509" s="4" t="s">
        <v>2083</v>
      </c>
      <c r="C509" t="s">
        <v>2084</v>
      </c>
      <c r="D509" t="s">
        <v>2085</v>
      </c>
      <c r="E509" t="str">
        <f>"285 23"</f>
        <v>285 23</v>
      </c>
      <c r="F509" t="s">
        <v>2086</v>
      </c>
      <c r="G509" t="s">
        <v>201</v>
      </c>
      <c r="H509" t="s">
        <v>120</v>
      </c>
      <c r="I509" t="s">
        <v>125</v>
      </c>
    </row>
    <row r="510" spans="1:9" x14ac:dyDescent="0.25">
      <c r="A510" s="4" t="str">
        <f>"5690"</f>
        <v>5690</v>
      </c>
      <c r="B510" s="4" t="s">
        <v>2087</v>
      </c>
      <c r="C510" t="s">
        <v>2088</v>
      </c>
      <c r="D510" t="s">
        <v>2089</v>
      </c>
      <c r="E510" t="str">
        <f>"285 07"</f>
        <v>285 07</v>
      </c>
      <c r="F510" t="s">
        <v>2090</v>
      </c>
      <c r="G510" t="s">
        <v>201</v>
      </c>
      <c r="H510" t="s">
        <v>120</v>
      </c>
      <c r="I510" t="s">
        <v>125</v>
      </c>
    </row>
    <row r="511" spans="1:9" x14ac:dyDescent="0.25">
      <c r="A511" s="4" t="str">
        <f>"5769"</f>
        <v>5769</v>
      </c>
      <c r="B511" s="4" t="s">
        <v>2091</v>
      </c>
      <c r="C511" t="s">
        <v>2092</v>
      </c>
      <c r="D511" t="s">
        <v>2093</v>
      </c>
      <c r="E511" t="str">
        <f>"285 06"</f>
        <v>285 06</v>
      </c>
      <c r="F511" t="s">
        <v>2094</v>
      </c>
      <c r="G511" t="s">
        <v>201</v>
      </c>
      <c r="H511" t="s">
        <v>120</v>
      </c>
      <c r="I511" t="s">
        <v>125</v>
      </c>
    </row>
    <row r="512" spans="1:9" x14ac:dyDescent="0.25">
      <c r="A512" s="4" t="str">
        <f>"6260"</f>
        <v>6260</v>
      </c>
      <c r="B512" s="4" t="s">
        <v>2095</v>
      </c>
      <c r="C512" t="s">
        <v>2096</v>
      </c>
      <c r="D512" t="s">
        <v>2097</v>
      </c>
      <c r="E512" t="str">
        <f>"285 32"</f>
        <v>285 32</v>
      </c>
      <c r="F512" t="s">
        <v>2098</v>
      </c>
      <c r="G512" t="s">
        <v>201</v>
      </c>
      <c r="H512" t="s">
        <v>120</v>
      </c>
      <c r="I512" t="s">
        <v>125</v>
      </c>
    </row>
    <row r="513" spans="1:9" x14ac:dyDescent="0.25">
      <c r="A513" s="4" t="str">
        <f>"6502"</f>
        <v>6502</v>
      </c>
      <c r="B513" s="4" t="s">
        <v>2099</v>
      </c>
      <c r="C513" t="s">
        <v>2100</v>
      </c>
      <c r="D513" t="s">
        <v>2101</v>
      </c>
      <c r="E513" t="str">
        <f>"285 44"</f>
        <v>285 44</v>
      </c>
      <c r="F513" t="s">
        <v>2102</v>
      </c>
      <c r="G513" t="s">
        <v>201</v>
      </c>
      <c r="H513" t="s">
        <v>120</v>
      </c>
      <c r="I513" t="s">
        <v>125</v>
      </c>
    </row>
    <row r="514" spans="1:9" x14ac:dyDescent="0.25">
      <c r="A514" s="4" t="str">
        <f>"5831"</f>
        <v>5831</v>
      </c>
      <c r="B514" s="4" t="s">
        <v>2103</v>
      </c>
      <c r="C514" t="s">
        <v>2104</v>
      </c>
      <c r="D514" t="s">
        <v>2105</v>
      </c>
      <c r="E514" t="str">
        <f>"286 01"</f>
        <v>286 01</v>
      </c>
      <c r="F514" t="s">
        <v>2106</v>
      </c>
      <c r="G514" t="s">
        <v>201</v>
      </c>
      <c r="H514" t="s">
        <v>120</v>
      </c>
      <c r="I514" t="s">
        <v>125</v>
      </c>
    </row>
    <row r="515" spans="1:9" x14ac:dyDescent="0.25">
      <c r="A515" s="4" t="str">
        <f>"2235"</f>
        <v>2235</v>
      </c>
      <c r="B515" s="4" t="s">
        <v>2118</v>
      </c>
      <c r="C515" t="s">
        <v>225</v>
      </c>
      <c r="D515" t="s">
        <v>2119</v>
      </c>
      <c r="E515" t="str">
        <f>"273 24"</f>
        <v>273 24</v>
      </c>
      <c r="F515" t="s">
        <v>2120</v>
      </c>
      <c r="G515" t="s">
        <v>201</v>
      </c>
      <c r="H515" t="s">
        <v>202</v>
      </c>
      <c r="I515" t="s">
        <v>125</v>
      </c>
    </row>
    <row r="516" spans="1:9" x14ac:dyDescent="0.25">
      <c r="A516" s="4" t="str">
        <f>"1431"</f>
        <v>1431</v>
      </c>
      <c r="B516" s="4" t="s">
        <v>2121</v>
      </c>
      <c r="C516" t="s">
        <v>2122</v>
      </c>
      <c r="D516" t="s">
        <v>2123</v>
      </c>
      <c r="E516" t="str">
        <f t="shared" ref="E516:E521" si="2">"280 02"</f>
        <v>280 02</v>
      </c>
      <c r="F516" t="s">
        <v>2124</v>
      </c>
      <c r="G516" t="s">
        <v>201</v>
      </c>
      <c r="H516" t="s">
        <v>120</v>
      </c>
      <c r="I516" t="s">
        <v>125</v>
      </c>
    </row>
    <row r="517" spans="1:9" x14ac:dyDescent="0.25">
      <c r="A517" s="4" t="str">
        <f>"195"</f>
        <v>195</v>
      </c>
      <c r="B517" s="4" t="s">
        <v>2153</v>
      </c>
      <c r="C517" t="s">
        <v>2154</v>
      </c>
      <c r="D517" t="s">
        <v>2155</v>
      </c>
      <c r="E517" t="str">
        <f t="shared" si="2"/>
        <v>280 02</v>
      </c>
      <c r="F517" t="s">
        <v>2156</v>
      </c>
      <c r="G517" t="s">
        <v>201</v>
      </c>
      <c r="H517" t="s">
        <v>120</v>
      </c>
      <c r="I517" t="s">
        <v>125</v>
      </c>
    </row>
    <row r="518" spans="1:9" x14ac:dyDescent="0.25">
      <c r="A518" s="4" t="str">
        <f>"408"</f>
        <v>408</v>
      </c>
      <c r="B518" s="4" t="s">
        <v>2157</v>
      </c>
      <c r="C518" t="s">
        <v>2158</v>
      </c>
      <c r="D518" t="s">
        <v>2159</v>
      </c>
      <c r="E518" t="str">
        <f t="shared" si="2"/>
        <v>280 02</v>
      </c>
      <c r="F518" t="s">
        <v>2160</v>
      </c>
      <c r="G518" t="s">
        <v>201</v>
      </c>
      <c r="H518" t="s">
        <v>120</v>
      </c>
      <c r="I518" t="s">
        <v>125</v>
      </c>
    </row>
    <row r="519" spans="1:9" x14ac:dyDescent="0.25">
      <c r="A519" s="4" t="str">
        <f>"3065"</f>
        <v>3065</v>
      </c>
      <c r="B519" s="4" t="s">
        <v>2161</v>
      </c>
      <c r="C519" t="s">
        <v>2162</v>
      </c>
      <c r="D519" t="s">
        <v>2163</v>
      </c>
      <c r="E519" t="str">
        <f t="shared" si="2"/>
        <v>280 02</v>
      </c>
      <c r="F519" t="s">
        <v>2164</v>
      </c>
      <c r="G519" t="s">
        <v>201</v>
      </c>
      <c r="H519" t="s">
        <v>120</v>
      </c>
      <c r="I519" t="s">
        <v>125</v>
      </c>
    </row>
    <row r="520" spans="1:9" x14ac:dyDescent="0.25">
      <c r="A520" s="4" t="str">
        <f>"5500"</f>
        <v>5500</v>
      </c>
      <c r="B520" s="4" t="s">
        <v>2165</v>
      </c>
      <c r="C520" t="s">
        <v>2166</v>
      </c>
      <c r="D520" t="s">
        <v>2167</v>
      </c>
      <c r="E520" t="str">
        <f t="shared" si="2"/>
        <v>280 02</v>
      </c>
      <c r="F520" t="s">
        <v>2168</v>
      </c>
      <c r="G520" t="s">
        <v>201</v>
      </c>
      <c r="H520" t="s">
        <v>120</v>
      </c>
      <c r="I520" t="s">
        <v>125</v>
      </c>
    </row>
    <row r="521" spans="1:9" x14ac:dyDescent="0.25">
      <c r="A521" s="4" t="str">
        <f>"6355"</f>
        <v>6355</v>
      </c>
      <c r="B521" s="4" t="s">
        <v>2169</v>
      </c>
      <c r="C521" t="s">
        <v>2170</v>
      </c>
      <c r="D521" t="s">
        <v>2171</v>
      </c>
      <c r="E521" t="str">
        <f t="shared" si="2"/>
        <v>280 02</v>
      </c>
      <c r="F521" t="s">
        <v>2172</v>
      </c>
      <c r="G521" t="s">
        <v>201</v>
      </c>
      <c r="H521" t="s">
        <v>120</v>
      </c>
      <c r="I521" t="s">
        <v>125</v>
      </c>
    </row>
    <row r="522" spans="1:9" x14ac:dyDescent="0.25">
      <c r="A522" s="4" t="str">
        <f>"19"</f>
        <v>19</v>
      </c>
      <c r="B522" s="4" t="s">
        <v>2180</v>
      </c>
      <c r="C522" t="s">
        <v>2181</v>
      </c>
      <c r="D522" t="s">
        <v>2182</v>
      </c>
      <c r="E522" t="str">
        <f>"281 26"</f>
        <v>281 26</v>
      </c>
      <c r="F522" t="s">
        <v>2183</v>
      </c>
      <c r="G522" t="s">
        <v>201</v>
      </c>
      <c r="H522" t="s">
        <v>120</v>
      </c>
      <c r="I522" t="s">
        <v>125</v>
      </c>
    </row>
    <row r="523" spans="1:9" x14ac:dyDescent="0.25">
      <c r="A523" s="4" t="str">
        <f>"626"</f>
        <v>626</v>
      </c>
      <c r="B523" s="4" t="s">
        <v>2184</v>
      </c>
      <c r="C523" t="s">
        <v>1549</v>
      </c>
      <c r="D523" t="s">
        <v>2185</v>
      </c>
      <c r="E523" t="str">
        <f>"281 63"</f>
        <v>281 63</v>
      </c>
      <c r="F523" t="s">
        <v>2186</v>
      </c>
      <c r="G523" t="s">
        <v>201</v>
      </c>
      <c r="H523" t="s">
        <v>202</v>
      </c>
      <c r="I523" t="s">
        <v>125</v>
      </c>
    </row>
    <row r="524" spans="1:9" x14ac:dyDescent="0.25">
      <c r="A524" s="4" t="str">
        <f>"4840"</f>
        <v>4840</v>
      </c>
      <c r="B524" s="4" t="s">
        <v>2187</v>
      </c>
      <c r="C524" t="s">
        <v>225</v>
      </c>
      <c r="D524" t="s">
        <v>1089</v>
      </c>
      <c r="E524" t="str">
        <f>"281 61"</f>
        <v>281 61</v>
      </c>
      <c r="F524" t="s">
        <v>2188</v>
      </c>
      <c r="G524" t="s">
        <v>201</v>
      </c>
      <c r="H524" t="s">
        <v>202</v>
      </c>
      <c r="I524" t="s">
        <v>125</v>
      </c>
    </row>
    <row r="525" spans="1:9" x14ac:dyDescent="0.25">
      <c r="A525" s="4" t="str">
        <f>"882"</f>
        <v>882</v>
      </c>
      <c r="B525" s="4" t="s">
        <v>2189</v>
      </c>
      <c r="C525" t="s">
        <v>2190</v>
      </c>
      <c r="D525" t="s">
        <v>2191</v>
      </c>
      <c r="E525" t="str">
        <f>"281 44"</f>
        <v>281 44</v>
      </c>
      <c r="F525" t="s">
        <v>2192</v>
      </c>
      <c r="G525" t="s">
        <v>201</v>
      </c>
      <c r="H525" t="s">
        <v>202</v>
      </c>
      <c r="I525" t="s">
        <v>125</v>
      </c>
    </row>
    <row r="526" spans="1:9" x14ac:dyDescent="0.25">
      <c r="A526" s="4" t="str">
        <f>"6361"</f>
        <v>6361</v>
      </c>
      <c r="B526" s="4" t="s">
        <v>2193</v>
      </c>
      <c r="C526" t="s">
        <v>127</v>
      </c>
      <c r="D526" t="s">
        <v>2194</v>
      </c>
      <c r="E526" t="str">
        <f>"281 29"</f>
        <v>281 29</v>
      </c>
      <c r="F526" t="s">
        <v>2195</v>
      </c>
      <c r="G526" t="s">
        <v>201</v>
      </c>
      <c r="H526" t="s">
        <v>120</v>
      </c>
      <c r="I526" t="s">
        <v>125</v>
      </c>
    </row>
    <row r="527" spans="1:9" x14ac:dyDescent="0.25">
      <c r="A527" s="4" t="str">
        <f>"2504"</f>
        <v>2504</v>
      </c>
      <c r="B527" s="4" t="s">
        <v>2196</v>
      </c>
      <c r="C527" t="s">
        <v>217</v>
      </c>
      <c r="D527" t="s">
        <v>2197</v>
      </c>
      <c r="E527" t="str">
        <f>"281 51"</f>
        <v>281 51</v>
      </c>
      <c r="F527" t="s">
        <v>2198</v>
      </c>
      <c r="G527" t="s">
        <v>201</v>
      </c>
      <c r="H527" t="s">
        <v>120</v>
      </c>
      <c r="I527" t="s">
        <v>125</v>
      </c>
    </row>
    <row r="528" spans="1:9" x14ac:dyDescent="0.25">
      <c r="A528" s="4" t="str">
        <f>"6190"</f>
        <v>6190</v>
      </c>
      <c r="B528" s="4" t="s">
        <v>2199</v>
      </c>
      <c r="C528" t="s">
        <v>127</v>
      </c>
      <c r="D528" t="s">
        <v>2200</v>
      </c>
      <c r="E528" t="str">
        <f>"281 21"</f>
        <v>281 21</v>
      </c>
      <c r="F528" t="s">
        <v>2201</v>
      </c>
      <c r="G528" t="s">
        <v>201</v>
      </c>
      <c r="H528" t="s">
        <v>120</v>
      </c>
      <c r="I528" t="s">
        <v>125</v>
      </c>
    </row>
    <row r="529" spans="1:9" x14ac:dyDescent="0.25">
      <c r="A529" s="4" t="str">
        <f>"2258"</f>
        <v>2258</v>
      </c>
      <c r="B529" s="4" t="s">
        <v>2202</v>
      </c>
      <c r="C529" t="s">
        <v>2203</v>
      </c>
      <c r="D529" t="s">
        <v>2204</v>
      </c>
      <c r="E529" t="str">
        <f>"281 01"</f>
        <v>281 01</v>
      </c>
      <c r="F529" t="s">
        <v>2205</v>
      </c>
      <c r="G529" t="s">
        <v>201</v>
      </c>
      <c r="H529" t="s">
        <v>120</v>
      </c>
      <c r="I529" t="s">
        <v>125</v>
      </c>
    </row>
    <row r="530" spans="1:9" x14ac:dyDescent="0.25">
      <c r="A530" s="4" t="str">
        <f>"384"</f>
        <v>384</v>
      </c>
      <c r="B530" s="4" t="s">
        <v>2206</v>
      </c>
      <c r="C530" t="s">
        <v>2207</v>
      </c>
      <c r="D530" t="s">
        <v>2208</v>
      </c>
      <c r="E530" t="str">
        <f>"281 04"</f>
        <v>281 04</v>
      </c>
      <c r="F530" t="s">
        <v>2209</v>
      </c>
      <c r="G530" t="s">
        <v>201</v>
      </c>
      <c r="H530" t="s">
        <v>120</v>
      </c>
      <c r="I530" t="s">
        <v>125</v>
      </c>
    </row>
    <row r="531" spans="1:9" x14ac:dyDescent="0.25">
      <c r="A531" s="4" t="str">
        <f>"758"</f>
        <v>758</v>
      </c>
      <c r="B531" s="4" t="s">
        <v>2210</v>
      </c>
      <c r="C531" t="s">
        <v>2211</v>
      </c>
      <c r="D531" t="s">
        <v>2212</v>
      </c>
      <c r="E531" t="str">
        <f>"281 02"</f>
        <v>281 02</v>
      </c>
      <c r="F531" t="s">
        <v>2213</v>
      </c>
      <c r="G531" t="s">
        <v>201</v>
      </c>
      <c r="H531" t="s">
        <v>120</v>
      </c>
      <c r="I531" t="s">
        <v>125</v>
      </c>
    </row>
    <row r="532" spans="1:9" x14ac:dyDescent="0.25">
      <c r="A532" s="4" t="str">
        <f>"86"</f>
        <v>86</v>
      </c>
      <c r="B532" s="4" t="s">
        <v>2214</v>
      </c>
      <c r="C532" t="s">
        <v>2215</v>
      </c>
      <c r="D532" t="s">
        <v>2216</v>
      </c>
      <c r="E532" t="str">
        <f>"281 27"</f>
        <v>281 27</v>
      </c>
      <c r="F532" t="s">
        <v>2217</v>
      </c>
      <c r="G532" t="s">
        <v>201</v>
      </c>
      <c r="H532" t="s">
        <v>120</v>
      </c>
      <c r="I532" t="s">
        <v>125</v>
      </c>
    </row>
    <row r="533" spans="1:9" x14ac:dyDescent="0.25">
      <c r="A533" s="4" t="str">
        <f>"99"</f>
        <v>99</v>
      </c>
      <c r="B533" s="4" t="s">
        <v>2218</v>
      </c>
      <c r="C533" t="s">
        <v>2219</v>
      </c>
      <c r="D533" t="s">
        <v>2220</v>
      </c>
      <c r="E533" t="str">
        <f>"281 63"</f>
        <v>281 63</v>
      </c>
      <c r="F533" t="s">
        <v>2221</v>
      </c>
      <c r="G533" t="s">
        <v>201</v>
      </c>
      <c r="H533" t="s">
        <v>120</v>
      </c>
      <c r="I533" t="s">
        <v>125</v>
      </c>
    </row>
    <row r="534" spans="1:9" x14ac:dyDescent="0.25">
      <c r="A534" s="4" t="str">
        <f>"113"</f>
        <v>113</v>
      </c>
      <c r="B534" s="4" t="s">
        <v>2222</v>
      </c>
      <c r="C534" t="s">
        <v>2223</v>
      </c>
      <c r="D534" t="s">
        <v>2224</v>
      </c>
      <c r="E534" t="str">
        <f>"281 25"</f>
        <v>281 25</v>
      </c>
      <c r="F534" t="s">
        <v>2225</v>
      </c>
      <c r="G534" t="s">
        <v>201</v>
      </c>
      <c r="H534" t="s">
        <v>120</v>
      </c>
      <c r="I534" t="s">
        <v>125</v>
      </c>
    </row>
    <row r="535" spans="1:9" x14ac:dyDescent="0.25">
      <c r="A535" s="4" t="str">
        <f>"200"</f>
        <v>200</v>
      </c>
      <c r="B535" s="4" t="s">
        <v>2226</v>
      </c>
      <c r="C535" t="s">
        <v>2227</v>
      </c>
      <c r="D535" t="s">
        <v>2228</v>
      </c>
      <c r="E535" t="str">
        <f>"281 26"</f>
        <v>281 26</v>
      </c>
      <c r="F535" t="s">
        <v>2229</v>
      </c>
      <c r="G535" t="s">
        <v>201</v>
      </c>
      <c r="H535" t="s">
        <v>120</v>
      </c>
      <c r="I535" t="s">
        <v>125</v>
      </c>
    </row>
    <row r="536" spans="1:9" x14ac:dyDescent="0.25">
      <c r="A536" s="4" t="str">
        <f>"210"</f>
        <v>210</v>
      </c>
      <c r="B536" s="4" t="s">
        <v>2230</v>
      </c>
      <c r="C536" t="s">
        <v>2231</v>
      </c>
      <c r="D536" t="s">
        <v>2232</v>
      </c>
      <c r="E536" t="str">
        <f>"281 63"</f>
        <v>281 63</v>
      </c>
      <c r="F536" t="s">
        <v>2233</v>
      </c>
      <c r="G536" t="s">
        <v>201</v>
      </c>
      <c r="H536" t="s">
        <v>120</v>
      </c>
      <c r="I536" t="s">
        <v>125</v>
      </c>
    </row>
    <row r="537" spans="1:9" x14ac:dyDescent="0.25">
      <c r="A537" s="4" t="str">
        <f>"213"</f>
        <v>213</v>
      </c>
      <c r="B537" s="4" t="s">
        <v>2234</v>
      </c>
      <c r="C537" t="s">
        <v>2235</v>
      </c>
      <c r="D537" t="s">
        <v>2236</v>
      </c>
      <c r="E537" t="str">
        <f>"280 01"</f>
        <v>280 01</v>
      </c>
      <c r="F537" t="s">
        <v>2237</v>
      </c>
      <c r="G537" t="s">
        <v>201</v>
      </c>
      <c r="H537" t="s">
        <v>120</v>
      </c>
      <c r="I537" t="s">
        <v>125</v>
      </c>
    </row>
    <row r="538" spans="1:9" x14ac:dyDescent="0.25">
      <c r="A538" s="4" t="str">
        <f>"221"</f>
        <v>221</v>
      </c>
      <c r="B538" s="4" t="s">
        <v>2238</v>
      </c>
      <c r="C538" t="s">
        <v>2239</v>
      </c>
      <c r="D538" t="s">
        <v>2240</v>
      </c>
      <c r="E538" t="str">
        <f>"281 07"</f>
        <v>281 07</v>
      </c>
      <c r="F538" t="s">
        <v>2241</v>
      </c>
      <c r="G538" t="s">
        <v>201</v>
      </c>
      <c r="H538" t="s">
        <v>120</v>
      </c>
      <c r="I538" t="s">
        <v>125</v>
      </c>
    </row>
    <row r="539" spans="1:9" x14ac:dyDescent="0.25">
      <c r="A539" s="4" t="str">
        <f>"313"</f>
        <v>313</v>
      </c>
      <c r="B539" s="4" t="s">
        <v>2242</v>
      </c>
      <c r="C539" t="s">
        <v>2243</v>
      </c>
      <c r="D539" t="s">
        <v>2244</v>
      </c>
      <c r="E539" t="str">
        <f>"282 01"</f>
        <v>282 01</v>
      </c>
      <c r="F539" t="s">
        <v>2245</v>
      </c>
      <c r="G539" t="s">
        <v>201</v>
      </c>
      <c r="H539" t="s">
        <v>120</v>
      </c>
      <c r="I539" t="s">
        <v>125</v>
      </c>
    </row>
    <row r="540" spans="1:9" x14ac:dyDescent="0.25">
      <c r="A540" s="4" t="str">
        <f>"396"</f>
        <v>396</v>
      </c>
      <c r="B540" s="4" t="s">
        <v>2246</v>
      </c>
      <c r="C540" t="s">
        <v>2247</v>
      </c>
      <c r="D540" t="s">
        <v>2248</v>
      </c>
      <c r="E540" t="str">
        <f>"289 11"</f>
        <v>289 11</v>
      </c>
      <c r="F540" t="s">
        <v>2249</v>
      </c>
      <c r="G540" t="s">
        <v>201</v>
      </c>
      <c r="H540" t="s">
        <v>120</v>
      </c>
      <c r="I540" t="s">
        <v>125</v>
      </c>
    </row>
    <row r="541" spans="1:9" x14ac:dyDescent="0.25">
      <c r="A541" s="4" t="str">
        <f>"534"</f>
        <v>534</v>
      </c>
      <c r="B541" s="4" t="s">
        <v>2250</v>
      </c>
      <c r="C541" t="s">
        <v>2251</v>
      </c>
      <c r="D541" t="s">
        <v>2252</v>
      </c>
      <c r="E541" t="str">
        <f>"281 63"</f>
        <v>281 63</v>
      </c>
      <c r="F541" t="s">
        <v>2253</v>
      </c>
      <c r="G541" t="s">
        <v>201</v>
      </c>
      <c r="H541" t="s">
        <v>120</v>
      </c>
      <c r="I541" t="s">
        <v>125</v>
      </c>
    </row>
    <row r="542" spans="1:9" x14ac:dyDescent="0.25">
      <c r="A542" s="4" t="str">
        <f>"620"</f>
        <v>620</v>
      </c>
      <c r="B542" s="4" t="s">
        <v>2254</v>
      </c>
      <c r="C542" t="s">
        <v>2255</v>
      </c>
      <c r="D542" t="s">
        <v>2256</v>
      </c>
      <c r="E542" t="str">
        <f>"280 02"</f>
        <v>280 02</v>
      </c>
      <c r="F542" t="s">
        <v>2257</v>
      </c>
      <c r="G542" t="s">
        <v>201</v>
      </c>
      <c r="H542" t="s">
        <v>120</v>
      </c>
      <c r="I542" t="s">
        <v>125</v>
      </c>
    </row>
    <row r="543" spans="1:9" x14ac:dyDescent="0.25">
      <c r="A543" s="4" t="str">
        <f>"647"</f>
        <v>647</v>
      </c>
      <c r="B543" s="4" t="s">
        <v>2258</v>
      </c>
      <c r="C543" t="s">
        <v>2259</v>
      </c>
      <c r="D543" t="s">
        <v>2260</v>
      </c>
      <c r="E543" t="str">
        <f>"282 01"</f>
        <v>282 01</v>
      </c>
      <c r="F543" t="s">
        <v>2261</v>
      </c>
      <c r="G543" t="s">
        <v>201</v>
      </c>
      <c r="H543" t="s">
        <v>120</v>
      </c>
      <c r="I543" t="s">
        <v>125</v>
      </c>
    </row>
    <row r="544" spans="1:9" x14ac:dyDescent="0.25">
      <c r="A544" s="4" t="str">
        <f>"648"</f>
        <v>648</v>
      </c>
      <c r="B544" s="4" t="s">
        <v>2262</v>
      </c>
      <c r="C544" t="s">
        <v>2263</v>
      </c>
      <c r="D544" t="s">
        <v>2264</v>
      </c>
      <c r="E544" t="str">
        <f>"281 41"</f>
        <v>281 41</v>
      </c>
      <c r="F544" t="s">
        <v>2265</v>
      </c>
      <c r="G544" t="s">
        <v>201</v>
      </c>
      <c r="H544" t="s">
        <v>120</v>
      </c>
      <c r="I544" t="s">
        <v>125</v>
      </c>
    </row>
    <row r="545" spans="1:9" x14ac:dyDescent="0.25">
      <c r="A545" s="4" t="str">
        <f>"679"</f>
        <v>679</v>
      </c>
      <c r="B545" s="4" t="s">
        <v>2266</v>
      </c>
      <c r="C545" t="s">
        <v>2267</v>
      </c>
      <c r="D545" t="s">
        <v>2268</v>
      </c>
      <c r="E545" t="str">
        <f>"280 02"</f>
        <v>280 02</v>
      </c>
      <c r="F545" t="s">
        <v>2269</v>
      </c>
      <c r="G545" t="s">
        <v>201</v>
      </c>
      <c r="H545" t="s">
        <v>120</v>
      </c>
      <c r="I545" t="s">
        <v>125</v>
      </c>
    </row>
    <row r="546" spans="1:9" x14ac:dyDescent="0.25">
      <c r="A546" s="4" t="str">
        <f>"1128"</f>
        <v>1128</v>
      </c>
      <c r="B546" s="4" t="s">
        <v>2270</v>
      </c>
      <c r="C546" t="s">
        <v>2271</v>
      </c>
      <c r="D546" t="s">
        <v>2272</v>
      </c>
      <c r="E546" t="str">
        <f>"281 67"</f>
        <v>281 67</v>
      </c>
      <c r="F546" t="s">
        <v>2273</v>
      </c>
      <c r="G546" t="s">
        <v>201</v>
      </c>
      <c r="H546" t="s">
        <v>120</v>
      </c>
      <c r="I546" t="s">
        <v>125</v>
      </c>
    </row>
    <row r="547" spans="1:9" x14ac:dyDescent="0.25">
      <c r="A547" s="4" t="str">
        <f>"2058"</f>
        <v>2058</v>
      </c>
      <c r="B547" s="4" t="s">
        <v>2274</v>
      </c>
      <c r="C547" t="s">
        <v>2275</v>
      </c>
      <c r="D547" t="s">
        <v>2276</v>
      </c>
      <c r="E547" t="str">
        <f>"280 02"</f>
        <v>280 02</v>
      </c>
      <c r="F547" t="s">
        <v>2277</v>
      </c>
      <c r="G547" t="s">
        <v>201</v>
      </c>
      <c r="H547" t="s">
        <v>120</v>
      </c>
      <c r="I547" t="s">
        <v>125</v>
      </c>
    </row>
    <row r="548" spans="1:9" x14ac:dyDescent="0.25">
      <c r="A548" s="4" t="str">
        <f>"2727"</f>
        <v>2727</v>
      </c>
      <c r="B548" s="4" t="s">
        <v>2278</v>
      </c>
      <c r="C548" t="s">
        <v>2279</v>
      </c>
      <c r="D548" t="s">
        <v>2280</v>
      </c>
      <c r="E548" t="str">
        <f>"280 02"</f>
        <v>280 02</v>
      </c>
      <c r="F548" t="s">
        <v>2280</v>
      </c>
      <c r="G548" t="s">
        <v>201</v>
      </c>
      <c r="H548" t="s">
        <v>120</v>
      </c>
      <c r="I548" t="s">
        <v>125</v>
      </c>
    </row>
    <row r="549" spans="1:9" x14ac:dyDescent="0.25">
      <c r="A549" s="4" t="str">
        <f>"2778"</f>
        <v>2778</v>
      </c>
      <c r="B549" s="4" t="s">
        <v>2281</v>
      </c>
      <c r="C549" t="s">
        <v>2282</v>
      </c>
      <c r="D549" t="s">
        <v>2283</v>
      </c>
      <c r="E549" t="str">
        <f>"281 63"</f>
        <v>281 63</v>
      </c>
      <c r="F549" t="s">
        <v>2284</v>
      </c>
      <c r="G549" t="s">
        <v>201</v>
      </c>
      <c r="H549" t="s">
        <v>120</v>
      </c>
      <c r="I549" t="s">
        <v>125</v>
      </c>
    </row>
    <row r="550" spans="1:9" x14ac:dyDescent="0.25">
      <c r="A550" s="4" t="str">
        <f>"2972"</f>
        <v>2972</v>
      </c>
      <c r="B550" s="4" t="s">
        <v>2285</v>
      </c>
      <c r="C550" t="s">
        <v>2286</v>
      </c>
      <c r="D550" t="s">
        <v>2287</v>
      </c>
      <c r="E550" t="str">
        <f>"289 11"</f>
        <v>289 11</v>
      </c>
      <c r="F550" t="s">
        <v>2288</v>
      </c>
      <c r="G550" t="s">
        <v>201</v>
      </c>
      <c r="H550" t="s">
        <v>120</v>
      </c>
      <c r="I550" t="s">
        <v>125</v>
      </c>
    </row>
    <row r="551" spans="1:9" x14ac:dyDescent="0.25">
      <c r="A551" s="4" t="str">
        <f>"3292"</f>
        <v>3292</v>
      </c>
      <c r="B551" s="4" t="s">
        <v>2289</v>
      </c>
      <c r="C551" t="s">
        <v>2290</v>
      </c>
      <c r="D551" t="s">
        <v>2291</v>
      </c>
      <c r="E551" t="str">
        <f>"282 01"</f>
        <v>282 01</v>
      </c>
      <c r="F551" t="s">
        <v>2292</v>
      </c>
      <c r="G551" t="s">
        <v>201</v>
      </c>
      <c r="H551" t="s">
        <v>120</v>
      </c>
      <c r="I551" t="s">
        <v>125</v>
      </c>
    </row>
    <row r="552" spans="1:9" x14ac:dyDescent="0.25">
      <c r="A552" s="4" t="str">
        <f>"3801"</f>
        <v>3801</v>
      </c>
      <c r="B552" s="4" t="s">
        <v>2293</v>
      </c>
      <c r="C552" t="s">
        <v>2294</v>
      </c>
      <c r="D552" t="s">
        <v>2295</v>
      </c>
      <c r="E552" t="str">
        <f>"280 02"</f>
        <v>280 02</v>
      </c>
      <c r="F552" t="s">
        <v>2296</v>
      </c>
      <c r="G552" t="s">
        <v>201</v>
      </c>
      <c r="H552" t="s">
        <v>120</v>
      </c>
      <c r="I552" t="s">
        <v>125</v>
      </c>
    </row>
    <row r="553" spans="1:9" x14ac:dyDescent="0.25">
      <c r="A553" s="4" t="str">
        <f>"3901"</f>
        <v>3901</v>
      </c>
      <c r="B553" s="4" t="s">
        <v>2297</v>
      </c>
      <c r="C553" t="s">
        <v>2298</v>
      </c>
      <c r="D553" t="s">
        <v>2299</v>
      </c>
      <c r="E553" t="str">
        <f>"250 82"</f>
        <v>250 82</v>
      </c>
      <c r="F553" t="s">
        <v>2300</v>
      </c>
      <c r="G553" t="s">
        <v>201</v>
      </c>
      <c r="H553" t="s">
        <v>120</v>
      </c>
      <c r="I553" t="s">
        <v>125</v>
      </c>
    </row>
    <row r="554" spans="1:9" x14ac:dyDescent="0.25">
      <c r="A554" s="4" t="str">
        <f>"4353"</f>
        <v>4353</v>
      </c>
      <c r="B554" s="4" t="s">
        <v>2301</v>
      </c>
      <c r="C554" t="s">
        <v>2302</v>
      </c>
      <c r="D554" t="s">
        <v>2303</v>
      </c>
      <c r="E554" t="str">
        <f>"280 02"</f>
        <v>280 02</v>
      </c>
      <c r="F554" t="s">
        <v>2303</v>
      </c>
      <c r="G554" t="s">
        <v>201</v>
      </c>
      <c r="H554" t="s">
        <v>120</v>
      </c>
      <c r="I554" t="s">
        <v>125</v>
      </c>
    </row>
    <row r="555" spans="1:9" x14ac:dyDescent="0.25">
      <c r="A555" s="4" t="str">
        <f>"4548"</f>
        <v>4548</v>
      </c>
      <c r="B555" s="4" t="s">
        <v>2304</v>
      </c>
      <c r="C555" t="s">
        <v>2305</v>
      </c>
      <c r="D555" t="s">
        <v>2306</v>
      </c>
      <c r="E555" t="str">
        <f>"282 01"</f>
        <v>282 01</v>
      </c>
      <c r="F555" t="s">
        <v>2307</v>
      </c>
      <c r="G555" t="s">
        <v>201</v>
      </c>
      <c r="H555" t="s">
        <v>120</v>
      </c>
      <c r="I555" t="s">
        <v>125</v>
      </c>
    </row>
    <row r="556" spans="1:9" x14ac:dyDescent="0.25">
      <c r="A556" s="4" t="str">
        <f>"4699"</f>
        <v>4699</v>
      </c>
      <c r="B556" s="4" t="s">
        <v>2308</v>
      </c>
      <c r="C556" t="s">
        <v>2309</v>
      </c>
      <c r="D556" t="s">
        <v>2310</v>
      </c>
      <c r="E556" t="str">
        <f>"280 02"</f>
        <v>280 02</v>
      </c>
      <c r="F556" t="s">
        <v>2311</v>
      </c>
      <c r="G556" t="s">
        <v>201</v>
      </c>
      <c r="H556" t="s">
        <v>120</v>
      </c>
      <c r="I556" t="s">
        <v>125</v>
      </c>
    </row>
    <row r="557" spans="1:9" x14ac:dyDescent="0.25">
      <c r="A557" s="4" t="str">
        <f>"4862"</f>
        <v>4862</v>
      </c>
      <c r="B557" s="4" t="s">
        <v>2312</v>
      </c>
      <c r="C557" t="s">
        <v>2313</v>
      </c>
      <c r="D557" t="s">
        <v>2314</v>
      </c>
      <c r="E557" t="str">
        <f>"281 62"</f>
        <v>281 62</v>
      </c>
      <c r="F557" t="s">
        <v>2315</v>
      </c>
      <c r="G557" t="s">
        <v>201</v>
      </c>
      <c r="H557" t="s">
        <v>120</v>
      </c>
      <c r="I557" t="s">
        <v>125</v>
      </c>
    </row>
    <row r="558" spans="1:9" x14ac:dyDescent="0.25">
      <c r="A558" s="4" t="str">
        <f>"4992"</f>
        <v>4992</v>
      </c>
      <c r="B558" s="4" t="s">
        <v>2316</v>
      </c>
      <c r="C558" t="s">
        <v>2317</v>
      </c>
      <c r="D558" t="s">
        <v>2318</v>
      </c>
      <c r="E558" t="str">
        <f>"281 41"</f>
        <v>281 41</v>
      </c>
      <c r="F558" t="s">
        <v>2319</v>
      </c>
      <c r="G558" t="s">
        <v>201</v>
      </c>
      <c r="H558" t="s">
        <v>120</v>
      </c>
      <c r="I558" t="s">
        <v>125</v>
      </c>
    </row>
    <row r="559" spans="1:9" x14ac:dyDescent="0.25">
      <c r="A559" s="4" t="str">
        <f>"5049"</f>
        <v>5049</v>
      </c>
      <c r="B559" s="4" t="s">
        <v>2320</v>
      </c>
      <c r="C559" t="s">
        <v>2321</v>
      </c>
      <c r="D559" t="s">
        <v>2322</v>
      </c>
      <c r="E559" t="str">
        <f>"281 43"</f>
        <v>281 43</v>
      </c>
      <c r="F559" t="s">
        <v>2323</v>
      </c>
      <c r="G559" t="s">
        <v>201</v>
      </c>
      <c r="H559" t="s">
        <v>120</v>
      </c>
      <c r="I559" t="s">
        <v>125</v>
      </c>
    </row>
    <row r="560" spans="1:9" x14ac:dyDescent="0.25">
      <c r="A560" s="4" t="str">
        <f>"5050"</f>
        <v>5050</v>
      </c>
      <c r="B560" s="4" t="s">
        <v>2324</v>
      </c>
      <c r="C560" t="s">
        <v>2325</v>
      </c>
      <c r="D560" t="s">
        <v>2326</v>
      </c>
      <c r="E560" t="str">
        <f>"281 43"</f>
        <v>281 43</v>
      </c>
      <c r="F560" t="s">
        <v>2327</v>
      </c>
      <c r="G560" t="s">
        <v>201</v>
      </c>
      <c r="H560" t="s">
        <v>120</v>
      </c>
      <c r="I560" t="s">
        <v>125</v>
      </c>
    </row>
    <row r="561" spans="1:9" x14ac:dyDescent="0.25">
      <c r="A561" s="4" t="str">
        <f>"5289"</f>
        <v>5289</v>
      </c>
      <c r="B561" s="4" t="s">
        <v>2328</v>
      </c>
      <c r="C561" t="s">
        <v>2329</v>
      </c>
      <c r="D561" t="s">
        <v>2330</v>
      </c>
      <c r="E561" t="str">
        <f>"280 02"</f>
        <v>280 02</v>
      </c>
      <c r="F561" t="s">
        <v>2331</v>
      </c>
      <c r="G561" t="s">
        <v>201</v>
      </c>
      <c r="H561" t="s">
        <v>120</v>
      </c>
      <c r="I561" t="s">
        <v>125</v>
      </c>
    </row>
    <row r="562" spans="1:9" x14ac:dyDescent="0.25">
      <c r="A562" s="4" t="str">
        <f>"5365"</f>
        <v>5365</v>
      </c>
      <c r="B562" s="4" t="s">
        <v>2332</v>
      </c>
      <c r="C562" t="s">
        <v>2333</v>
      </c>
      <c r="D562" t="s">
        <v>2334</v>
      </c>
      <c r="E562" t="str">
        <f>"281 44"</f>
        <v>281 44</v>
      </c>
      <c r="F562" t="s">
        <v>2335</v>
      </c>
      <c r="G562" t="s">
        <v>201</v>
      </c>
      <c r="H562" t="s">
        <v>120</v>
      </c>
      <c r="I562" t="s">
        <v>125</v>
      </c>
    </row>
    <row r="563" spans="1:9" x14ac:dyDescent="0.25">
      <c r="A563" s="4" t="str">
        <f>"5449"</f>
        <v>5449</v>
      </c>
      <c r="B563" s="4" t="s">
        <v>2336</v>
      </c>
      <c r="C563" t="s">
        <v>2337</v>
      </c>
      <c r="D563" t="s">
        <v>2338</v>
      </c>
      <c r="E563" t="str">
        <f>"282 01"</f>
        <v>282 01</v>
      </c>
      <c r="F563" t="s">
        <v>2339</v>
      </c>
      <c r="G563" t="s">
        <v>201</v>
      </c>
      <c r="H563" t="s">
        <v>120</v>
      </c>
      <c r="I563" t="s">
        <v>125</v>
      </c>
    </row>
    <row r="564" spans="1:9" x14ac:dyDescent="0.25">
      <c r="A564" s="4" t="str">
        <f>"5624"</f>
        <v>5624</v>
      </c>
      <c r="B564" s="4" t="s">
        <v>2340</v>
      </c>
      <c r="C564" t="s">
        <v>2341</v>
      </c>
      <c r="D564" t="s">
        <v>2342</v>
      </c>
      <c r="E564" t="str">
        <f>"281 28"</f>
        <v>281 28</v>
      </c>
      <c r="F564" t="s">
        <v>2343</v>
      </c>
      <c r="G564" t="s">
        <v>201</v>
      </c>
      <c r="H564" t="s">
        <v>120</v>
      </c>
      <c r="I564" t="s">
        <v>125</v>
      </c>
    </row>
    <row r="565" spans="1:9" x14ac:dyDescent="0.25">
      <c r="A565" s="4" t="str">
        <f>"5712"</f>
        <v>5712</v>
      </c>
      <c r="B565" s="4" t="s">
        <v>2344</v>
      </c>
      <c r="C565" t="s">
        <v>2345</v>
      </c>
      <c r="D565" t="s">
        <v>2346</v>
      </c>
      <c r="E565" t="str">
        <f>"281 44"</f>
        <v>281 44</v>
      </c>
      <c r="F565" t="s">
        <v>2347</v>
      </c>
      <c r="G565" t="s">
        <v>201</v>
      </c>
      <c r="H565" t="s">
        <v>120</v>
      </c>
      <c r="I565" t="s">
        <v>125</v>
      </c>
    </row>
    <row r="566" spans="1:9" x14ac:dyDescent="0.25">
      <c r="A566" s="4" t="str">
        <f>"5995"</f>
        <v>5995</v>
      </c>
      <c r="B566" s="4" t="s">
        <v>2348</v>
      </c>
      <c r="C566" t="s">
        <v>2349</v>
      </c>
      <c r="D566" t="s">
        <v>2350</v>
      </c>
      <c r="E566" t="str">
        <f>"281 30"</f>
        <v>281 30</v>
      </c>
      <c r="F566" t="s">
        <v>2351</v>
      </c>
      <c r="G566" t="s">
        <v>201</v>
      </c>
      <c r="H566" t="s">
        <v>120</v>
      </c>
      <c r="I566" t="s">
        <v>125</v>
      </c>
    </row>
    <row r="567" spans="1:9" x14ac:dyDescent="0.25">
      <c r="A567" s="4" t="str">
        <f>"6073"</f>
        <v>6073</v>
      </c>
      <c r="B567" s="4" t="s">
        <v>2352</v>
      </c>
      <c r="C567" t="s">
        <v>2353</v>
      </c>
      <c r="D567" t="s">
        <v>2354</v>
      </c>
      <c r="E567" t="str">
        <f>"289 11"</f>
        <v>289 11</v>
      </c>
      <c r="F567" t="s">
        <v>2355</v>
      </c>
      <c r="G567" t="s">
        <v>201</v>
      </c>
      <c r="H567" t="s">
        <v>120</v>
      </c>
      <c r="I567" t="s">
        <v>125</v>
      </c>
    </row>
    <row r="568" spans="1:9" x14ac:dyDescent="0.25">
      <c r="A568" s="4" t="str">
        <f>"6284"</f>
        <v>6284</v>
      </c>
      <c r="B568" s="4" t="s">
        <v>2356</v>
      </c>
      <c r="C568" t="s">
        <v>2357</v>
      </c>
      <c r="D568" t="s">
        <v>2358</v>
      </c>
      <c r="E568" t="str">
        <f>"289 41"</f>
        <v>289 41</v>
      </c>
      <c r="F568" t="s">
        <v>2359</v>
      </c>
      <c r="G568" t="s">
        <v>201</v>
      </c>
      <c r="H568" t="s">
        <v>120</v>
      </c>
      <c r="I568" t="s">
        <v>125</v>
      </c>
    </row>
    <row r="569" spans="1:9" x14ac:dyDescent="0.25">
      <c r="A569" s="4" t="str">
        <f>"6329"</f>
        <v>6329</v>
      </c>
      <c r="B569" s="4" t="s">
        <v>2360</v>
      </c>
      <c r="C569" t="s">
        <v>2361</v>
      </c>
      <c r="D569" t="s">
        <v>2362</v>
      </c>
      <c r="E569" t="str">
        <f>"282 01"</f>
        <v>282 01</v>
      </c>
      <c r="F569" t="s">
        <v>2363</v>
      </c>
      <c r="G569" t="s">
        <v>201</v>
      </c>
      <c r="H569" t="s">
        <v>120</v>
      </c>
      <c r="I569" t="s">
        <v>125</v>
      </c>
    </row>
    <row r="570" spans="1:9" x14ac:dyDescent="0.25">
      <c r="A570" s="4" t="str">
        <f>"6528"</f>
        <v>6528</v>
      </c>
      <c r="B570" s="4" t="s">
        <v>2364</v>
      </c>
      <c r="C570" t="s">
        <v>2365</v>
      </c>
      <c r="D570" t="s">
        <v>2366</v>
      </c>
      <c r="E570" t="str">
        <f>"281 44"</f>
        <v>281 44</v>
      </c>
      <c r="F570" t="s">
        <v>2367</v>
      </c>
      <c r="G570" t="s">
        <v>201</v>
      </c>
      <c r="H570" t="s">
        <v>120</v>
      </c>
      <c r="I570" t="s">
        <v>125</v>
      </c>
    </row>
    <row r="571" spans="1:9" x14ac:dyDescent="0.25">
      <c r="A571" s="4" t="str">
        <f>"6517"</f>
        <v>6517</v>
      </c>
      <c r="B571" s="4" t="s">
        <v>2368</v>
      </c>
      <c r="C571" t="s">
        <v>2369</v>
      </c>
      <c r="D571" t="s">
        <v>2370</v>
      </c>
      <c r="E571" t="str">
        <f>"280 02"</f>
        <v>280 02</v>
      </c>
      <c r="F571" t="s">
        <v>2371</v>
      </c>
      <c r="G571" t="s">
        <v>201</v>
      </c>
      <c r="H571" t="s">
        <v>705</v>
      </c>
      <c r="I571" t="s">
        <v>125</v>
      </c>
    </row>
    <row r="572" spans="1:9" x14ac:dyDescent="0.25">
      <c r="A572" s="4" t="str">
        <f>"23"</f>
        <v>23</v>
      </c>
      <c r="B572" s="4" t="s">
        <v>2461</v>
      </c>
      <c r="C572" t="s">
        <v>2462</v>
      </c>
      <c r="D572" t="s">
        <v>2463</v>
      </c>
      <c r="E572" t="str">
        <f>"295 01"</f>
        <v>295 01</v>
      </c>
      <c r="F572" t="s">
        <v>2464</v>
      </c>
      <c r="G572" t="s">
        <v>201</v>
      </c>
      <c r="H572" t="s">
        <v>202</v>
      </c>
      <c r="I572" t="s">
        <v>125</v>
      </c>
    </row>
    <row r="573" spans="1:9" x14ac:dyDescent="0.25">
      <c r="A573" s="4" t="str">
        <f>"3070"</f>
        <v>3070</v>
      </c>
      <c r="B573" s="4" t="s">
        <v>2465</v>
      </c>
      <c r="C573" t="s">
        <v>2466</v>
      </c>
      <c r="D573" t="s">
        <v>2467</v>
      </c>
      <c r="E573" t="str">
        <f>"293 01"</f>
        <v>293 01</v>
      </c>
      <c r="F573" t="s">
        <v>2468</v>
      </c>
      <c r="G573" t="s">
        <v>201</v>
      </c>
      <c r="H573" t="s">
        <v>120</v>
      </c>
      <c r="I573" t="s">
        <v>125</v>
      </c>
    </row>
    <row r="574" spans="1:9" x14ac:dyDescent="0.25">
      <c r="A574" s="4" t="str">
        <f>"4704"</f>
        <v>4704</v>
      </c>
      <c r="B574" s="4" t="s">
        <v>2469</v>
      </c>
      <c r="C574" t="s">
        <v>2470</v>
      </c>
      <c r="D574" t="s">
        <v>2471</v>
      </c>
      <c r="E574" t="str">
        <f>"293 01"</f>
        <v>293 01</v>
      </c>
      <c r="F574" t="s">
        <v>2472</v>
      </c>
      <c r="G574" t="s">
        <v>201</v>
      </c>
      <c r="H574" t="s">
        <v>120</v>
      </c>
      <c r="I574" t="s">
        <v>125</v>
      </c>
    </row>
    <row r="575" spans="1:9" x14ac:dyDescent="0.25">
      <c r="A575" s="4" t="str">
        <f>"793"</f>
        <v>793</v>
      </c>
      <c r="B575" s="4" t="s">
        <v>2480</v>
      </c>
      <c r="C575" t="s">
        <v>225</v>
      </c>
      <c r="D575" t="s">
        <v>2481</v>
      </c>
      <c r="E575" t="str">
        <f>"293 06"</f>
        <v>293 06</v>
      </c>
      <c r="F575" t="s">
        <v>2482</v>
      </c>
      <c r="G575" t="s">
        <v>201</v>
      </c>
      <c r="H575" t="s">
        <v>202</v>
      </c>
      <c r="I575" t="s">
        <v>125</v>
      </c>
    </row>
    <row r="576" spans="1:9" x14ac:dyDescent="0.25">
      <c r="A576" s="4" t="str">
        <f>"1208"</f>
        <v>1208</v>
      </c>
      <c r="B576" s="4" t="s">
        <v>2483</v>
      </c>
      <c r="C576" t="s">
        <v>2484</v>
      </c>
      <c r="D576" t="s">
        <v>2485</v>
      </c>
      <c r="E576" t="str">
        <f>"294 04"</f>
        <v>294 04</v>
      </c>
      <c r="F576" t="s">
        <v>2486</v>
      </c>
      <c r="G576" t="s">
        <v>201</v>
      </c>
      <c r="H576" t="s">
        <v>202</v>
      </c>
      <c r="I576" t="s">
        <v>125</v>
      </c>
    </row>
    <row r="577" spans="1:9" x14ac:dyDescent="0.25">
      <c r="A577" s="4" t="str">
        <f>"4"</f>
        <v>4</v>
      </c>
      <c r="B577" s="4" t="s">
        <v>2487</v>
      </c>
      <c r="C577" t="s">
        <v>2488</v>
      </c>
      <c r="D577" t="s">
        <v>2489</v>
      </c>
      <c r="E577" t="str">
        <f>"294 21"</f>
        <v>294 21</v>
      </c>
      <c r="F577" t="s">
        <v>2490</v>
      </c>
      <c r="G577" t="s">
        <v>201</v>
      </c>
      <c r="H577" t="s">
        <v>202</v>
      </c>
      <c r="I577" t="s">
        <v>125</v>
      </c>
    </row>
    <row r="578" spans="1:9" x14ac:dyDescent="0.25">
      <c r="A578" s="4" t="str">
        <f>"1503"</f>
        <v>1503</v>
      </c>
      <c r="B578" s="4" t="s">
        <v>2491</v>
      </c>
      <c r="C578" t="s">
        <v>2492</v>
      </c>
      <c r="D578" t="s">
        <v>2493</v>
      </c>
      <c r="E578" t="str">
        <f>"294 02"</f>
        <v>294 02</v>
      </c>
      <c r="F578" t="s">
        <v>2494</v>
      </c>
      <c r="G578" t="s">
        <v>201</v>
      </c>
      <c r="H578" t="s">
        <v>120</v>
      </c>
      <c r="I578" t="s">
        <v>125</v>
      </c>
    </row>
    <row r="579" spans="1:9" x14ac:dyDescent="0.25">
      <c r="A579" s="4" t="str">
        <f>"2347"</f>
        <v>2347</v>
      </c>
      <c r="B579" s="4" t="s">
        <v>2495</v>
      </c>
      <c r="C579" t="s">
        <v>2496</v>
      </c>
      <c r="D579" t="s">
        <v>2497</v>
      </c>
      <c r="E579" t="str">
        <f>"294 01"</f>
        <v>294 01</v>
      </c>
      <c r="F579" t="s">
        <v>2498</v>
      </c>
      <c r="G579" t="s">
        <v>201</v>
      </c>
      <c r="H579" t="s">
        <v>202</v>
      </c>
      <c r="I579" t="s">
        <v>125</v>
      </c>
    </row>
    <row r="580" spans="1:9" x14ac:dyDescent="0.25">
      <c r="A580" s="4" t="str">
        <f>"1900"</f>
        <v>1900</v>
      </c>
      <c r="B580" s="4" t="s">
        <v>2499</v>
      </c>
      <c r="C580" t="s">
        <v>2500</v>
      </c>
      <c r="D580" t="s">
        <v>2501</v>
      </c>
      <c r="E580" t="str">
        <f>"294 42"</f>
        <v>294 42</v>
      </c>
      <c r="F580" t="s">
        <v>2502</v>
      </c>
      <c r="G580" t="s">
        <v>201</v>
      </c>
      <c r="H580" t="s">
        <v>120</v>
      </c>
      <c r="I580" t="s">
        <v>125</v>
      </c>
    </row>
    <row r="581" spans="1:9" x14ac:dyDescent="0.25">
      <c r="A581" s="4" t="str">
        <f>"4421"</f>
        <v>4421</v>
      </c>
      <c r="B581" s="4" t="s">
        <v>2503</v>
      </c>
      <c r="C581" t="s">
        <v>2504</v>
      </c>
      <c r="D581" t="s">
        <v>2505</v>
      </c>
      <c r="E581" t="str">
        <f>"294 29"</f>
        <v>294 29</v>
      </c>
      <c r="F581" t="s">
        <v>2506</v>
      </c>
      <c r="G581" t="s">
        <v>201</v>
      </c>
      <c r="H581" t="s">
        <v>120</v>
      </c>
      <c r="I581" t="s">
        <v>125</v>
      </c>
    </row>
    <row r="582" spans="1:9" x14ac:dyDescent="0.25">
      <c r="A582" s="4" t="str">
        <f>"385"</f>
        <v>385</v>
      </c>
      <c r="B582" s="4" t="s">
        <v>2507</v>
      </c>
      <c r="C582" t="s">
        <v>2508</v>
      </c>
      <c r="D582" t="s">
        <v>2509</v>
      </c>
      <c r="E582" t="str">
        <f>"294 14"</f>
        <v>294 14</v>
      </c>
      <c r="F582" t="s">
        <v>2510</v>
      </c>
      <c r="G582" t="s">
        <v>201</v>
      </c>
      <c r="H582" t="s">
        <v>120</v>
      </c>
      <c r="I582" t="s">
        <v>125</v>
      </c>
    </row>
    <row r="583" spans="1:9" x14ac:dyDescent="0.25">
      <c r="A583" s="4" t="str">
        <f>"573"</f>
        <v>573</v>
      </c>
      <c r="B583" s="4" t="s">
        <v>2511</v>
      </c>
      <c r="C583" t="s">
        <v>2512</v>
      </c>
      <c r="D583" t="s">
        <v>2513</v>
      </c>
      <c r="E583" t="str">
        <f>"294 25"</f>
        <v>294 25</v>
      </c>
      <c r="F583" t="s">
        <v>2514</v>
      </c>
      <c r="G583" t="s">
        <v>201</v>
      </c>
      <c r="H583" t="s">
        <v>120</v>
      </c>
      <c r="I583" t="s">
        <v>125</v>
      </c>
    </row>
    <row r="584" spans="1:9" x14ac:dyDescent="0.25">
      <c r="A584" s="4" t="str">
        <f>"716"</f>
        <v>716</v>
      </c>
      <c r="B584" s="4" t="s">
        <v>2515</v>
      </c>
      <c r="C584" t="s">
        <v>2516</v>
      </c>
      <c r="D584" t="s">
        <v>2517</v>
      </c>
      <c r="E584" t="str">
        <f>"294 74"</f>
        <v>294 74</v>
      </c>
      <c r="F584" t="s">
        <v>2518</v>
      </c>
      <c r="G584" t="s">
        <v>201</v>
      </c>
      <c r="H584" t="s">
        <v>120</v>
      </c>
      <c r="I584" t="s">
        <v>125</v>
      </c>
    </row>
    <row r="585" spans="1:9" x14ac:dyDescent="0.25">
      <c r="A585" s="4" t="str">
        <f>"730"</f>
        <v>730</v>
      </c>
      <c r="B585" s="4" t="s">
        <v>2519</v>
      </c>
      <c r="C585" t="s">
        <v>2520</v>
      </c>
      <c r="D585" t="s">
        <v>2521</v>
      </c>
      <c r="E585" t="str">
        <f>"294 43"</f>
        <v>294 43</v>
      </c>
      <c r="F585" t="s">
        <v>2522</v>
      </c>
      <c r="G585" t="s">
        <v>201</v>
      </c>
      <c r="H585" t="s">
        <v>120</v>
      </c>
      <c r="I585" t="s">
        <v>125</v>
      </c>
    </row>
    <row r="586" spans="1:9" x14ac:dyDescent="0.25">
      <c r="A586" s="4" t="str">
        <f>"731"</f>
        <v>731</v>
      </c>
      <c r="B586" s="4" t="s">
        <v>2523</v>
      </c>
      <c r="C586" t="s">
        <v>2524</v>
      </c>
      <c r="D586" t="s">
        <v>2525</v>
      </c>
      <c r="E586" t="str">
        <f>"294 43"</f>
        <v>294 43</v>
      </c>
      <c r="F586" t="s">
        <v>2526</v>
      </c>
      <c r="G586" t="s">
        <v>201</v>
      </c>
      <c r="H586" t="s">
        <v>120</v>
      </c>
      <c r="I586" t="s">
        <v>125</v>
      </c>
    </row>
    <row r="587" spans="1:9" x14ac:dyDescent="0.25">
      <c r="A587" s="4" t="str">
        <f>"770"</f>
        <v>770</v>
      </c>
      <c r="B587" s="4" t="s">
        <v>2527</v>
      </c>
      <c r="C587" t="s">
        <v>2528</v>
      </c>
      <c r="D587" t="s">
        <v>2529</v>
      </c>
      <c r="E587" t="str">
        <f>"294 74"</f>
        <v>294 74</v>
      </c>
      <c r="F587" t="s">
        <v>2530</v>
      </c>
      <c r="G587" t="s">
        <v>201</v>
      </c>
      <c r="H587" t="s">
        <v>120</v>
      </c>
      <c r="I587" t="s">
        <v>125</v>
      </c>
    </row>
    <row r="588" spans="1:9" x14ac:dyDescent="0.25">
      <c r="A588" s="4" t="str">
        <f>"791"</f>
        <v>791</v>
      </c>
      <c r="B588" s="4" t="s">
        <v>2531</v>
      </c>
      <c r="C588" t="s">
        <v>2532</v>
      </c>
      <c r="D588" t="s">
        <v>2533</v>
      </c>
      <c r="E588" t="str">
        <f>"294 77"</f>
        <v>294 77</v>
      </c>
      <c r="F588" t="s">
        <v>2534</v>
      </c>
      <c r="G588" t="s">
        <v>201</v>
      </c>
      <c r="H588" t="s">
        <v>120</v>
      </c>
      <c r="I588" t="s">
        <v>125</v>
      </c>
    </row>
    <row r="589" spans="1:9" x14ac:dyDescent="0.25">
      <c r="A589" s="4" t="str">
        <f>"979"</f>
        <v>979</v>
      </c>
      <c r="B589" s="4" t="s">
        <v>2535</v>
      </c>
      <c r="C589" t="s">
        <v>2536</v>
      </c>
      <c r="D589" t="s">
        <v>2537</v>
      </c>
      <c r="E589" t="str">
        <f>"294 06"</f>
        <v>294 06</v>
      </c>
      <c r="F589" t="s">
        <v>2538</v>
      </c>
      <c r="G589" t="s">
        <v>201</v>
      </c>
      <c r="H589" t="s">
        <v>120</v>
      </c>
      <c r="I589" t="s">
        <v>125</v>
      </c>
    </row>
    <row r="590" spans="1:9" x14ac:dyDescent="0.25">
      <c r="A590" s="4" t="str">
        <f>"1414"</f>
        <v>1414</v>
      </c>
      <c r="B590" s="4" t="s">
        <v>2539</v>
      </c>
      <c r="C590" t="s">
        <v>2540</v>
      </c>
      <c r="D590" t="s">
        <v>2541</v>
      </c>
      <c r="E590" t="str">
        <f>"293 01"</f>
        <v>293 01</v>
      </c>
      <c r="F590" t="s">
        <v>2542</v>
      </c>
      <c r="G590" t="s">
        <v>201</v>
      </c>
      <c r="H590" t="s">
        <v>120</v>
      </c>
      <c r="I590" t="s">
        <v>125</v>
      </c>
    </row>
    <row r="591" spans="1:9" x14ac:dyDescent="0.25">
      <c r="A591" s="4" t="str">
        <f>"1415"</f>
        <v>1415</v>
      </c>
      <c r="B591" s="4" t="s">
        <v>2543</v>
      </c>
      <c r="C591" t="s">
        <v>2544</v>
      </c>
      <c r="D591" t="s">
        <v>2545</v>
      </c>
      <c r="E591" t="str">
        <f>"294 25"</f>
        <v>294 25</v>
      </c>
      <c r="F591" t="s">
        <v>2545</v>
      </c>
      <c r="G591" t="s">
        <v>201</v>
      </c>
      <c r="H591" t="s">
        <v>120</v>
      </c>
      <c r="I591" t="s">
        <v>125</v>
      </c>
    </row>
    <row r="592" spans="1:9" x14ac:dyDescent="0.25">
      <c r="A592" s="4" t="str">
        <f>"1420"</f>
        <v>1420</v>
      </c>
      <c r="B592" s="4" t="s">
        <v>2546</v>
      </c>
      <c r="C592" t="s">
        <v>2547</v>
      </c>
      <c r="D592" t="s">
        <v>2548</v>
      </c>
      <c r="E592" t="str">
        <f>"294 46"</f>
        <v>294 46</v>
      </c>
      <c r="F592" t="s">
        <v>2549</v>
      </c>
      <c r="G592" t="s">
        <v>201</v>
      </c>
      <c r="H592" t="s">
        <v>120</v>
      </c>
      <c r="I592" t="s">
        <v>125</v>
      </c>
    </row>
    <row r="593" spans="1:9" x14ac:dyDescent="0.25">
      <c r="A593" s="4" t="str">
        <f>"1511"</f>
        <v>1511</v>
      </c>
      <c r="B593" s="4" t="s">
        <v>2550</v>
      </c>
      <c r="C593" t="s">
        <v>2551</v>
      </c>
      <c r="D593" t="s">
        <v>2552</v>
      </c>
      <c r="E593" t="str">
        <f>"294 78"</f>
        <v>294 78</v>
      </c>
      <c r="F593" t="s">
        <v>2553</v>
      </c>
      <c r="G593" t="s">
        <v>201</v>
      </c>
      <c r="H593" t="s">
        <v>120</v>
      </c>
      <c r="I593" t="s">
        <v>125</v>
      </c>
    </row>
    <row r="594" spans="1:9" x14ac:dyDescent="0.25">
      <c r="A594" s="4" t="str">
        <f>"1550"</f>
        <v>1550</v>
      </c>
      <c r="B594" s="4" t="s">
        <v>2554</v>
      </c>
      <c r="C594" t="s">
        <v>2555</v>
      </c>
      <c r="D594" t="s">
        <v>2556</v>
      </c>
      <c r="E594" t="str">
        <f>"294 31"</f>
        <v>294 31</v>
      </c>
      <c r="F594" t="s">
        <v>2557</v>
      </c>
      <c r="G594" t="s">
        <v>201</v>
      </c>
      <c r="H594" t="s">
        <v>120</v>
      </c>
      <c r="I594" t="s">
        <v>125</v>
      </c>
    </row>
    <row r="595" spans="1:9" x14ac:dyDescent="0.25">
      <c r="A595" s="4" t="str">
        <f>"1574"</f>
        <v>1574</v>
      </c>
      <c r="B595" s="4" t="s">
        <v>2558</v>
      </c>
      <c r="C595" t="s">
        <v>2559</v>
      </c>
      <c r="D595" t="s">
        <v>2560</v>
      </c>
      <c r="E595" t="str">
        <f>"294 11"</f>
        <v>294 11</v>
      </c>
      <c r="F595" t="s">
        <v>2560</v>
      </c>
      <c r="G595" t="s">
        <v>201</v>
      </c>
      <c r="H595" t="s">
        <v>120</v>
      </c>
      <c r="I595" t="s">
        <v>125</v>
      </c>
    </row>
    <row r="596" spans="1:9" x14ac:dyDescent="0.25">
      <c r="A596" s="4" t="str">
        <f>"1657"</f>
        <v>1657</v>
      </c>
      <c r="B596" s="4" t="s">
        <v>2561</v>
      </c>
      <c r="C596" t="s">
        <v>2562</v>
      </c>
      <c r="D596" t="s">
        <v>2563</v>
      </c>
      <c r="E596" t="str">
        <f>"294 11"</f>
        <v>294 11</v>
      </c>
      <c r="F596" t="s">
        <v>2564</v>
      </c>
      <c r="G596" t="s">
        <v>201</v>
      </c>
      <c r="H596" t="s">
        <v>120</v>
      </c>
      <c r="I596" t="s">
        <v>125</v>
      </c>
    </row>
    <row r="597" spans="1:9" x14ac:dyDescent="0.25">
      <c r="A597" s="4" t="str">
        <f>"1811"</f>
        <v>1811</v>
      </c>
      <c r="B597" s="4" t="s">
        <v>2565</v>
      </c>
      <c r="C597" t="s">
        <v>2566</v>
      </c>
      <c r="D597" t="s">
        <v>2567</v>
      </c>
      <c r="E597" t="str">
        <f>"295 01"</f>
        <v>295 01</v>
      </c>
      <c r="F597" t="s">
        <v>2567</v>
      </c>
      <c r="G597" t="s">
        <v>201</v>
      </c>
      <c r="H597" t="s">
        <v>120</v>
      </c>
      <c r="I597" t="s">
        <v>125</v>
      </c>
    </row>
    <row r="598" spans="1:9" x14ac:dyDescent="0.25">
      <c r="A598" s="4" t="str">
        <f>"1925"</f>
        <v>1925</v>
      </c>
      <c r="B598" s="4" t="s">
        <v>2568</v>
      </c>
      <c r="C598" t="s">
        <v>2569</v>
      </c>
      <c r="D598" t="s">
        <v>2570</v>
      </c>
      <c r="E598" t="str">
        <f>"294 26"</f>
        <v>294 26</v>
      </c>
      <c r="F598" t="s">
        <v>2571</v>
      </c>
      <c r="G598" t="s">
        <v>201</v>
      </c>
      <c r="H598" t="s">
        <v>120</v>
      </c>
      <c r="I598" t="s">
        <v>125</v>
      </c>
    </row>
    <row r="599" spans="1:9" x14ac:dyDescent="0.25">
      <c r="A599" s="4" t="str">
        <f>"1965"</f>
        <v>1965</v>
      </c>
      <c r="B599" s="4" t="s">
        <v>2572</v>
      </c>
      <c r="C599" t="s">
        <v>2573</v>
      </c>
      <c r="D599" t="s">
        <v>2574</v>
      </c>
      <c r="E599" t="str">
        <f>"294 46"</f>
        <v>294 46</v>
      </c>
      <c r="F599" t="s">
        <v>2575</v>
      </c>
      <c r="G599" t="s">
        <v>201</v>
      </c>
      <c r="H599" t="s">
        <v>120</v>
      </c>
      <c r="I599" t="s">
        <v>125</v>
      </c>
    </row>
    <row r="600" spans="1:9" x14ac:dyDescent="0.25">
      <c r="A600" s="4" t="str">
        <f>"2054"</f>
        <v>2054</v>
      </c>
      <c r="B600" s="4" t="s">
        <v>2576</v>
      </c>
      <c r="C600" t="s">
        <v>2577</v>
      </c>
      <c r="D600" t="s">
        <v>2578</v>
      </c>
      <c r="E600" t="str">
        <f>"294 11"</f>
        <v>294 11</v>
      </c>
      <c r="F600" t="s">
        <v>2579</v>
      </c>
      <c r="G600" t="s">
        <v>201</v>
      </c>
      <c r="H600" t="s">
        <v>120</v>
      </c>
      <c r="I600" t="s">
        <v>125</v>
      </c>
    </row>
    <row r="601" spans="1:9" x14ac:dyDescent="0.25">
      <c r="A601" s="4" t="str">
        <f>"2060"</f>
        <v>2060</v>
      </c>
      <c r="B601" s="4" t="s">
        <v>2580</v>
      </c>
      <c r="C601" t="s">
        <v>2581</v>
      </c>
      <c r="D601" t="s">
        <v>2582</v>
      </c>
      <c r="E601" t="str">
        <f>"294 43"</f>
        <v>294 43</v>
      </c>
      <c r="F601" t="s">
        <v>2583</v>
      </c>
      <c r="G601" t="s">
        <v>201</v>
      </c>
      <c r="H601" t="s">
        <v>120</v>
      </c>
      <c r="I601" t="s">
        <v>125</v>
      </c>
    </row>
    <row r="602" spans="1:9" x14ac:dyDescent="0.25">
      <c r="A602" s="4" t="str">
        <f>"2074"</f>
        <v>2074</v>
      </c>
      <c r="B602" s="4" t="s">
        <v>2584</v>
      </c>
      <c r="C602" t="s">
        <v>2585</v>
      </c>
      <c r="D602" t="s">
        <v>2586</v>
      </c>
      <c r="E602" t="str">
        <f>"293 06"</f>
        <v>293 06</v>
      </c>
      <c r="F602" t="s">
        <v>2587</v>
      </c>
      <c r="G602" t="s">
        <v>201</v>
      </c>
      <c r="H602" t="s">
        <v>120</v>
      </c>
      <c r="I602" t="s">
        <v>125</v>
      </c>
    </row>
    <row r="603" spans="1:9" x14ac:dyDescent="0.25">
      <c r="A603" s="4" t="str">
        <f>"2079"</f>
        <v>2079</v>
      </c>
      <c r="B603" s="4" t="s">
        <v>2588</v>
      </c>
      <c r="C603" t="s">
        <v>2589</v>
      </c>
      <c r="D603" t="s">
        <v>2590</v>
      </c>
      <c r="E603" t="str">
        <f>"294 75"</f>
        <v>294 75</v>
      </c>
      <c r="F603" t="s">
        <v>2591</v>
      </c>
      <c r="G603" t="s">
        <v>201</v>
      </c>
      <c r="H603" t="s">
        <v>120</v>
      </c>
      <c r="I603" t="s">
        <v>125</v>
      </c>
    </row>
    <row r="604" spans="1:9" x14ac:dyDescent="0.25">
      <c r="A604" s="4" t="str">
        <f>"2103"</f>
        <v>2103</v>
      </c>
      <c r="B604" s="4" t="s">
        <v>2592</v>
      </c>
      <c r="C604" t="s">
        <v>2593</v>
      </c>
      <c r="D604" t="s">
        <v>2594</v>
      </c>
      <c r="E604" t="str">
        <f>"294 47"</f>
        <v>294 47</v>
      </c>
      <c r="F604" t="s">
        <v>2595</v>
      </c>
      <c r="G604" t="s">
        <v>201</v>
      </c>
      <c r="H604" t="s">
        <v>120</v>
      </c>
      <c r="I604" t="s">
        <v>125</v>
      </c>
    </row>
    <row r="605" spans="1:9" x14ac:dyDescent="0.25">
      <c r="A605" s="4" t="str">
        <f>"2134"</f>
        <v>2134</v>
      </c>
      <c r="B605" s="4" t="s">
        <v>2596</v>
      </c>
      <c r="C605" t="s">
        <v>2597</v>
      </c>
      <c r="D605" t="s">
        <v>2598</v>
      </c>
      <c r="E605" t="str">
        <f>"294 42"</f>
        <v>294 42</v>
      </c>
      <c r="F605" t="s">
        <v>2599</v>
      </c>
      <c r="G605" t="s">
        <v>201</v>
      </c>
      <c r="H605" t="s">
        <v>120</v>
      </c>
      <c r="I605" t="s">
        <v>125</v>
      </c>
    </row>
    <row r="606" spans="1:9" x14ac:dyDescent="0.25">
      <c r="A606" s="4" t="str">
        <f>"2237"</f>
        <v>2237</v>
      </c>
      <c r="B606" s="4" t="s">
        <v>2600</v>
      </c>
      <c r="C606" t="s">
        <v>2601</v>
      </c>
      <c r="D606" t="s">
        <v>2602</v>
      </c>
      <c r="E606" t="str">
        <f>"294 48"</f>
        <v>294 48</v>
      </c>
      <c r="F606" t="s">
        <v>2603</v>
      </c>
      <c r="G606" t="s">
        <v>201</v>
      </c>
      <c r="H606" t="s">
        <v>120</v>
      </c>
      <c r="I606" t="s">
        <v>125</v>
      </c>
    </row>
    <row r="607" spans="1:9" x14ac:dyDescent="0.25">
      <c r="A607" s="4" t="str">
        <f>"2350"</f>
        <v>2350</v>
      </c>
      <c r="B607" s="4" t="s">
        <v>2604</v>
      </c>
      <c r="C607" t="s">
        <v>2605</v>
      </c>
      <c r="D607" t="s">
        <v>2606</v>
      </c>
      <c r="E607" t="str">
        <f>"294 27"</f>
        <v>294 27</v>
      </c>
      <c r="F607" t="s">
        <v>2607</v>
      </c>
      <c r="G607" t="s">
        <v>201</v>
      </c>
      <c r="H607" t="s">
        <v>120</v>
      </c>
      <c r="I607" t="s">
        <v>125</v>
      </c>
    </row>
    <row r="608" spans="1:9" x14ac:dyDescent="0.25">
      <c r="A608" s="4" t="str">
        <f>"2378"</f>
        <v>2378</v>
      </c>
      <c r="B608" s="4" t="s">
        <v>2608</v>
      </c>
      <c r="C608" t="s">
        <v>2609</v>
      </c>
      <c r="D608" t="s">
        <v>2610</v>
      </c>
      <c r="E608" t="str">
        <f>"294 13"</f>
        <v>294 13</v>
      </c>
      <c r="F608" t="s">
        <v>2611</v>
      </c>
      <c r="G608" t="s">
        <v>201</v>
      </c>
      <c r="H608" t="s">
        <v>120</v>
      </c>
      <c r="I608" t="s">
        <v>125</v>
      </c>
    </row>
    <row r="609" spans="1:9" x14ac:dyDescent="0.25">
      <c r="A609" s="4" t="str">
        <f>"2379"</f>
        <v>2379</v>
      </c>
      <c r="B609" s="4" t="s">
        <v>2612</v>
      </c>
      <c r="C609" t="s">
        <v>2613</v>
      </c>
      <c r="D609" t="s">
        <v>2614</v>
      </c>
      <c r="E609" t="str">
        <f>"294 13"</f>
        <v>294 13</v>
      </c>
      <c r="F609" t="s">
        <v>2614</v>
      </c>
      <c r="G609" t="s">
        <v>201</v>
      </c>
      <c r="H609" t="s">
        <v>120</v>
      </c>
      <c r="I609" t="s">
        <v>125</v>
      </c>
    </row>
    <row r="610" spans="1:9" x14ac:dyDescent="0.25">
      <c r="A610" s="4" t="str">
        <f>"2396"</f>
        <v>2396</v>
      </c>
      <c r="B610" s="4" t="s">
        <v>2615</v>
      </c>
      <c r="C610" t="s">
        <v>2616</v>
      </c>
      <c r="D610" t="s">
        <v>2617</v>
      </c>
      <c r="E610" t="str">
        <f>"294 04"</f>
        <v>294 04</v>
      </c>
      <c r="F610" t="s">
        <v>2618</v>
      </c>
      <c r="G610" t="s">
        <v>201</v>
      </c>
      <c r="H610" t="s">
        <v>120</v>
      </c>
      <c r="I610" t="s">
        <v>125</v>
      </c>
    </row>
    <row r="611" spans="1:9" x14ac:dyDescent="0.25">
      <c r="A611" s="4" t="str">
        <f>"2416"</f>
        <v>2416</v>
      </c>
      <c r="B611" s="4" t="s">
        <v>2619</v>
      </c>
      <c r="C611" t="s">
        <v>2620</v>
      </c>
      <c r="D611" t="s">
        <v>2621</v>
      </c>
      <c r="E611" t="str">
        <f>"294 26"</f>
        <v>294 26</v>
      </c>
      <c r="F611" t="s">
        <v>2622</v>
      </c>
      <c r="G611" t="s">
        <v>201</v>
      </c>
      <c r="H611" t="s">
        <v>120</v>
      </c>
      <c r="I611" t="s">
        <v>125</v>
      </c>
    </row>
    <row r="612" spans="1:9" x14ac:dyDescent="0.25">
      <c r="A612" s="4" t="str">
        <f>"2432"</f>
        <v>2432</v>
      </c>
      <c r="B612" s="4" t="s">
        <v>2623</v>
      </c>
      <c r="C612" t="s">
        <v>2624</v>
      </c>
      <c r="D612" t="s">
        <v>2625</v>
      </c>
      <c r="E612" t="str">
        <f>"294 15"</f>
        <v>294 15</v>
      </c>
      <c r="F612" t="s">
        <v>2626</v>
      </c>
      <c r="G612" t="s">
        <v>201</v>
      </c>
      <c r="H612" t="s">
        <v>120</v>
      </c>
      <c r="I612" t="s">
        <v>125</v>
      </c>
    </row>
    <row r="613" spans="1:9" x14ac:dyDescent="0.25">
      <c r="A613" s="4" t="str">
        <f>"2455"</f>
        <v>2455</v>
      </c>
      <c r="B613" s="4" t="s">
        <v>2627</v>
      </c>
      <c r="C613" t="s">
        <v>2628</v>
      </c>
      <c r="D613" t="s">
        <v>2629</v>
      </c>
      <c r="E613" t="str">
        <f>"294 06"</f>
        <v>294 06</v>
      </c>
      <c r="F613" t="s">
        <v>2630</v>
      </c>
      <c r="G613" t="s">
        <v>201</v>
      </c>
      <c r="H613" t="s">
        <v>120</v>
      </c>
      <c r="I613" t="s">
        <v>125</v>
      </c>
    </row>
    <row r="614" spans="1:9" x14ac:dyDescent="0.25">
      <c r="A614" s="4" t="str">
        <f>"2699"</f>
        <v>2699</v>
      </c>
      <c r="B614" s="4" t="s">
        <v>2631</v>
      </c>
      <c r="C614" t="s">
        <v>2632</v>
      </c>
      <c r="D614" t="s">
        <v>2633</v>
      </c>
      <c r="E614" t="str">
        <f>"294 06"</f>
        <v>294 06</v>
      </c>
      <c r="F614" t="s">
        <v>2634</v>
      </c>
      <c r="G614" t="s">
        <v>201</v>
      </c>
      <c r="H614" t="s">
        <v>120</v>
      </c>
      <c r="I614" t="s">
        <v>125</v>
      </c>
    </row>
    <row r="615" spans="1:9" x14ac:dyDescent="0.25">
      <c r="A615" s="4" t="str">
        <f>"2814"</f>
        <v>2814</v>
      </c>
      <c r="B615" s="4" t="s">
        <v>2635</v>
      </c>
      <c r="C615" t="s">
        <v>2636</v>
      </c>
      <c r="D615" t="s">
        <v>2637</v>
      </c>
      <c r="E615" t="str">
        <f>"294 31"</f>
        <v>294 31</v>
      </c>
      <c r="F615" t="s">
        <v>2638</v>
      </c>
      <c r="G615" t="s">
        <v>201</v>
      </c>
      <c r="H615" t="s">
        <v>120</v>
      </c>
      <c r="I615" t="s">
        <v>125</v>
      </c>
    </row>
    <row r="616" spans="1:9" x14ac:dyDescent="0.25">
      <c r="A616" s="4" t="str">
        <f>"2917"</f>
        <v>2917</v>
      </c>
      <c r="B616" s="4" t="s">
        <v>2639</v>
      </c>
      <c r="C616" t="s">
        <v>2640</v>
      </c>
      <c r="D616" t="s">
        <v>2641</v>
      </c>
      <c r="E616" t="str">
        <f>"294 01"</f>
        <v>294 01</v>
      </c>
      <c r="F616" t="s">
        <v>2642</v>
      </c>
      <c r="G616" t="s">
        <v>201</v>
      </c>
      <c r="H616" t="s">
        <v>120</v>
      </c>
      <c r="I616" t="s">
        <v>125</v>
      </c>
    </row>
    <row r="617" spans="1:9" x14ac:dyDescent="0.25">
      <c r="A617" s="4" t="str">
        <f>"3022"</f>
        <v>3022</v>
      </c>
      <c r="B617" s="4" t="s">
        <v>2643</v>
      </c>
      <c r="C617" t="s">
        <v>2644</v>
      </c>
      <c r="D617" t="s">
        <v>2645</v>
      </c>
      <c r="E617" t="str">
        <f>"294 45"</f>
        <v>294 45</v>
      </c>
      <c r="F617" t="s">
        <v>2646</v>
      </c>
      <c r="G617" t="s">
        <v>201</v>
      </c>
      <c r="H617" t="s">
        <v>120</v>
      </c>
      <c r="I617" t="s">
        <v>125</v>
      </c>
    </row>
    <row r="618" spans="1:9" x14ac:dyDescent="0.25">
      <c r="A618" s="4" t="str">
        <f>"3115"</f>
        <v>3115</v>
      </c>
      <c r="B618" s="4" t="s">
        <v>2647</v>
      </c>
      <c r="C618" t="s">
        <v>2648</v>
      </c>
      <c r="D618" t="s">
        <v>2649</v>
      </c>
      <c r="E618" t="str">
        <f>"294 01"</f>
        <v>294 01</v>
      </c>
      <c r="F618" t="s">
        <v>2650</v>
      </c>
      <c r="G618" t="s">
        <v>201</v>
      </c>
      <c r="H618" t="s">
        <v>120</v>
      </c>
      <c r="I618" t="s">
        <v>125</v>
      </c>
    </row>
    <row r="619" spans="1:9" x14ac:dyDescent="0.25">
      <c r="A619" s="4" t="str">
        <f>"3169"</f>
        <v>3169</v>
      </c>
      <c r="B619" s="4" t="s">
        <v>2651</v>
      </c>
      <c r="C619" t="s">
        <v>2652</v>
      </c>
      <c r="D619" t="s">
        <v>2653</v>
      </c>
      <c r="E619" t="str">
        <f>"294 06"</f>
        <v>294 06</v>
      </c>
      <c r="F619" t="s">
        <v>2654</v>
      </c>
      <c r="G619" t="s">
        <v>201</v>
      </c>
      <c r="H619" t="s">
        <v>120</v>
      </c>
      <c r="I619" t="s">
        <v>125</v>
      </c>
    </row>
    <row r="620" spans="1:9" x14ac:dyDescent="0.25">
      <c r="A620" s="4" t="str">
        <f>"3454"</f>
        <v>3454</v>
      </c>
      <c r="B620" s="4" t="s">
        <v>2655</v>
      </c>
      <c r="C620" t="s">
        <v>2656</v>
      </c>
      <c r="D620" t="s">
        <v>2657</v>
      </c>
      <c r="E620" t="str">
        <f>"293 07"</f>
        <v>293 07</v>
      </c>
      <c r="F620" t="s">
        <v>2658</v>
      </c>
      <c r="G620" t="s">
        <v>201</v>
      </c>
      <c r="H620" t="s">
        <v>120</v>
      </c>
      <c r="I620" t="s">
        <v>125</v>
      </c>
    </row>
    <row r="621" spans="1:9" x14ac:dyDescent="0.25">
      <c r="A621" s="4" t="str">
        <f>"3483"</f>
        <v>3483</v>
      </c>
      <c r="B621" s="4" t="s">
        <v>2659</v>
      </c>
      <c r="C621" t="s">
        <v>2660</v>
      </c>
      <c r="D621" t="s">
        <v>2661</v>
      </c>
      <c r="E621" t="str">
        <f>"294 41"</f>
        <v>294 41</v>
      </c>
      <c r="F621" t="s">
        <v>2662</v>
      </c>
      <c r="G621" t="s">
        <v>201</v>
      </c>
      <c r="H621" t="s">
        <v>120</v>
      </c>
      <c r="I621" t="s">
        <v>125</v>
      </c>
    </row>
    <row r="622" spans="1:9" x14ac:dyDescent="0.25">
      <c r="A622" s="4" t="str">
        <f>"3538"</f>
        <v>3538</v>
      </c>
      <c r="B622" s="4" t="s">
        <v>2663</v>
      </c>
      <c r="C622" t="s">
        <v>2664</v>
      </c>
      <c r="D622" t="s">
        <v>2665</v>
      </c>
      <c r="E622" t="str">
        <f>"294 04"</f>
        <v>294 04</v>
      </c>
      <c r="F622" t="s">
        <v>2666</v>
      </c>
      <c r="G622" t="s">
        <v>201</v>
      </c>
      <c r="H622" t="s">
        <v>120</v>
      </c>
      <c r="I622" t="s">
        <v>125</v>
      </c>
    </row>
    <row r="623" spans="1:9" x14ac:dyDescent="0.25">
      <c r="A623" s="4" t="str">
        <f>"3636"</f>
        <v>3636</v>
      </c>
      <c r="B623" s="4" t="s">
        <v>2667</v>
      </c>
      <c r="C623" t="s">
        <v>2668</v>
      </c>
      <c r="D623" t="s">
        <v>2669</v>
      </c>
      <c r="E623" t="str">
        <f>"294 42"</f>
        <v>294 42</v>
      </c>
      <c r="F623" t="s">
        <v>2670</v>
      </c>
      <c r="G623" t="s">
        <v>201</v>
      </c>
      <c r="H623" t="s">
        <v>120</v>
      </c>
      <c r="I623" t="s">
        <v>125</v>
      </c>
    </row>
    <row r="624" spans="1:9" x14ac:dyDescent="0.25">
      <c r="A624" s="4" t="str">
        <f>"3773"</f>
        <v>3773</v>
      </c>
      <c r="B624" s="4" t="s">
        <v>2671</v>
      </c>
      <c r="C624" t="s">
        <v>2672</v>
      </c>
      <c r="D624" t="s">
        <v>2673</v>
      </c>
      <c r="E624" t="str">
        <f>"295 01"</f>
        <v>295 01</v>
      </c>
      <c r="F624" t="s">
        <v>2674</v>
      </c>
      <c r="G624" t="s">
        <v>201</v>
      </c>
      <c r="H624" t="s">
        <v>120</v>
      </c>
      <c r="I624" t="s">
        <v>125</v>
      </c>
    </row>
    <row r="625" spans="1:9" x14ac:dyDescent="0.25">
      <c r="A625" s="4" t="str">
        <f>"3822"</f>
        <v>3822</v>
      </c>
      <c r="B625" s="4" t="s">
        <v>2675</v>
      </c>
      <c r="C625" t="s">
        <v>2676</v>
      </c>
      <c r="D625" t="s">
        <v>2677</v>
      </c>
      <c r="E625" t="str">
        <f>"294 23"</f>
        <v>294 23</v>
      </c>
      <c r="F625" t="s">
        <v>2678</v>
      </c>
      <c r="G625" t="s">
        <v>201</v>
      </c>
      <c r="H625" t="s">
        <v>120</v>
      </c>
      <c r="I625" t="s">
        <v>125</v>
      </c>
    </row>
    <row r="626" spans="1:9" x14ac:dyDescent="0.25">
      <c r="A626" s="4" t="str">
        <f>"3883"</f>
        <v>3883</v>
      </c>
      <c r="B626" s="4" t="s">
        <v>2679</v>
      </c>
      <c r="C626" t="s">
        <v>2680</v>
      </c>
      <c r="D626" t="s">
        <v>2681</v>
      </c>
      <c r="E626" t="str">
        <f>"294 73"</f>
        <v>294 73</v>
      </c>
      <c r="F626" t="s">
        <v>2682</v>
      </c>
      <c r="G626" t="s">
        <v>201</v>
      </c>
      <c r="H626" t="s">
        <v>120</v>
      </c>
      <c r="I626" t="s">
        <v>125</v>
      </c>
    </row>
    <row r="627" spans="1:9" x14ac:dyDescent="0.25">
      <c r="A627" s="4" t="str">
        <f>"3942"</f>
        <v>3942</v>
      </c>
      <c r="B627" s="4" t="s">
        <v>2683</v>
      </c>
      <c r="C627" t="s">
        <v>2684</v>
      </c>
      <c r="D627" t="s">
        <v>2685</v>
      </c>
      <c r="E627" t="str">
        <f>"294 11"</f>
        <v>294 11</v>
      </c>
      <c r="F627" t="s">
        <v>2686</v>
      </c>
      <c r="G627" t="s">
        <v>201</v>
      </c>
      <c r="H627" t="s">
        <v>120</v>
      </c>
      <c r="I627" t="s">
        <v>125</v>
      </c>
    </row>
    <row r="628" spans="1:9" x14ac:dyDescent="0.25">
      <c r="A628" s="4" t="str">
        <f>"3986"</f>
        <v>3986</v>
      </c>
      <c r="B628" s="4" t="s">
        <v>2687</v>
      </c>
      <c r="C628" t="s">
        <v>2688</v>
      </c>
      <c r="D628" t="s">
        <v>2689</v>
      </c>
      <c r="E628" t="str">
        <f>"294 45"</f>
        <v>294 45</v>
      </c>
      <c r="F628" t="s">
        <v>2690</v>
      </c>
      <c r="G628" t="s">
        <v>201</v>
      </c>
      <c r="H628" t="s">
        <v>120</v>
      </c>
      <c r="I628" t="s">
        <v>125</v>
      </c>
    </row>
    <row r="629" spans="1:9" x14ac:dyDescent="0.25">
      <c r="A629" s="4" t="str">
        <f>"4109"</f>
        <v>4109</v>
      </c>
      <c r="B629" s="4" t="s">
        <v>2691</v>
      </c>
      <c r="C629" t="s">
        <v>2692</v>
      </c>
      <c r="D629" t="s">
        <v>2693</v>
      </c>
      <c r="E629" t="str">
        <f>"294 28"</f>
        <v>294 28</v>
      </c>
      <c r="F629" t="s">
        <v>2694</v>
      </c>
      <c r="G629" t="s">
        <v>201</v>
      </c>
      <c r="H629" t="s">
        <v>120</v>
      </c>
      <c r="I629" t="s">
        <v>125</v>
      </c>
    </row>
    <row r="630" spans="1:9" x14ac:dyDescent="0.25">
      <c r="A630" s="4" t="str">
        <f>"4524"</f>
        <v>4524</v>
      </c>
      <c r="B630" s="4" t="s">
        <v>2695</v>
      </c>
      <c r="C630" t="s">
        <v>2696</v>
      </c>
      <c r="D630" t="s">
        <v>2697</v>
      </c>
      <c r="E630" t="str">
        <f>"294 41"</f>
        <v>294 41</v>
      </c>
      <c r="F630" t="s">
        <v>2698</v>
      </c>
      <c r="G630" t="s">
        <v>201</v>
      </c>
      <c r="H630" t="s">
        <v>120</v>
      </c>
      <c r="I630" t="s">
        <v>125</v>
      </c>
    </row>
    <row r="631" spans="1:9" x14ac:dyDescent="0.25">
      <c r="A631" s="4" t="str">
        <f>"4534"</f>
        <v>4534</v>
      </c>
      <c r="B631" s="4" t="s">
        <v>2699</v>
      </c>
      <c r="C631" t="s">
        <v>2700</v>
      </c>
      <c r="D631" t="s">
        <v>2701</v>
      </c>
      <c r="E631" t="str">
        <f>"294 06"</f>
        <v>294 06</v>
      </c>
      <c r="F631" t="s">
        <v>2701</v>
      </c>
      <c r="G631" t="s">
        <v>201</v>
      </c>
      <c r="H631" t="s">
        <v>120</v>
      </c>
      <c r="I631" t="s">
        <v>125</v>
      </c>
    </row>
    <row r="632" spans="1:9" x14ac:dyDescent="0.25">
      <c r="A632" s="4" t="str">
        <f>"4733"</f>
        <v>4733</v>
      </c>
      <c r="B632" s="4" t="s">
        <v>2702</v>
      </c>
      <c r="C632" t="s">
        <v>2703</v>
      </c>
      <c r="D632" t="s">
        <v>2704</v>
      </c>
      <c r="E632" t="str">
        <f>"294 04"</f>
        <v>294 04</v>
      </c>
      <c r="F632" t="s">
        <v>2705</v>
      </c>
      <c r="G632" t="s">
        <v>201</v>
      </c>
      <c r="H632" t="s">
        <v>120</v>
      </c>
      <c r="I632" t="s">
        <v>125</v>
      </c>
    </row>
    <row r="633" spans="1:9" x14ac:dyDescent="0.25">
      <c r="A633" s="4" t="str">
        <f>"4763"</f>
        <v>4763</v>
      </c>
      <c r="B633" s="4" t="s">
        <v>2706</v>
      </c>
      <c r="C633" t="s">
        <v>2707</v>
      </c>
      <c r="D633" t="s">
        <v>2708</v>
      </c>
      <c r="E633" t="str">
        <f>"294 13"</f>
        <v>294 13</v>
      </c>
      <c r="F633" t="s">
        <v>2709</v>
      </c>
      <c r="G633" t="s">
        <v>201</v>
      </c>
      <c r="H633" t="s">
        <v>120</v>
      </c>
      <c r="I633" t="s">
        <v>125</v>
      </c>
    </row>
    <row r="634" spans="1:9" x14ac:dyDescent="0.25">
      <c r="A634" s="4" t="str">
        <f>"4885"</f>
        <v>4885</v>
      </c>
      <c r="B634" s="4" t="s">
        <v>2710</v>
      </c>
      <c r="C634" t="s">
        <v>2711</v>
      </c>
      <c r="D634" t="s">
        <v>2712</v>
      </c>
      <c r="E634" t="str">
        <f>"294 11"</f>
        <v>294 11</v>
      </c>
      <c r="F634" t="s">
        <v>2713</v>
      </c>
      <c r="G634" t="s">
        <v>201</v>
      </c>
      <c r="H634" t="s">
        <v>120</v>
      </c>
      <c r="I634" t="s">
        <v>125</v>
      </c>
    </row>
    <row r="635" spans="1:9" x14ac:dyDescent="0.25">
      <c r="A635" s="4" t="str">
        <f>"5453"</f>
        <v>5453</v>
      </c>
      <c r="B635" s="4" t="s">
        <v>2714</v>
      </c>
      <c r="C635" t="s">
        <v>2715</v>
      </c>
      <c r="D635" t="s">
        <v>2716</v>
      </c>
      <c r="E635" t="str">
        <f>"293 01"</f>
        <v>293 01</v>
      </c>
      <c r="F635" t="s">
        <v>2717</v>
      </c>
      <c r="G635" t="s">
        <v>201</v>
      </c>
      <c r="H635" t="s">
        <v>120</v>
      </c>
      <c r="I635" t="s">
        <v>125</v>
      </c>
    </row>
    <row r="636" spans="1:9" x14ac:dyDescent="0.25">
      <c r="A636" s="4" t="str">
        <f>"5488"</f>
        <v>5488</v>
      </c>
      <c r="B636" s="4" t="s">
        <v>2718</v>
      </c>
      <c r="C636" t="s">
        <v>2719</v>
      </c>
      <c r="D636" t="s">
        <v>2720</v>
      </c>
      <c r="E636" t="str">
        <f>"294 46"</f>
        <v>294 46</v>
      </c>
      <c r="F636" t="s">
        <v>2721</v>
      </c>
      <c r="G636" t="s">
        <v>201</v>
      </c>
      <c r="H636" t="s">
        <v>120</v>
      </c>
      <c r="I636" t="s">
        <v>125</v>
      </c>
    </row>
    <row r="637" spans="1:9" x14ac:dyDescent="0.25">
      <c r="A637" s="4" t="str">
        <f>"5801"</f>
        <v>5801</v>
      </c>
      <c r="B637" s="4" t="s">
        <v>2722</v>
      </c>
      <c r="C637" t="s">
        <v>2723</v>
      </c>
      <c r="D637" t="s">
        <v>2724</v>
      </c>
      <c r="E637" t="str">
        <f>"293 01"</f>
        <v>293 01</v>
      </c>
      <c r="F637" t="s">
        <v>2725</v>
      </c>
      <c r="G637" t="s">
        <v>201</v>
      </c>
      <c r="H637" t="s">
        <v>120</v>
      </c>
      <c r="I637" t="s">
        <v>125</v>
      </c>
    </row>
    <row r="638" spans="1:9" x14ac:dyDescent="0.25">
      <c r="A638" s="4" t="str">
        <f>"5989"</f>
        <v>5989</v>
      </c>
      <c r="B638" s="4" t="s">
        <v>2726</v>
      </c>
      <c r="C638" t="s">
        <v>2727</v>
      </c>
      <c r="D638" t="s">
        <v>2728</v>
      </c>
      <c r="E638" t="str">
        <f>"294 04"</f>
        <v>294 04</v>
      </c>
      <c r="F638" t="s">
        <v>2729</v>
      </c>
      <c r="G638" t="s">
        <v>201</v>
      </c>
      <c r="H638" t="s">
        <v>120</v>
      </c>
      <c r="I638" t="s">
        <v>125</v>
      </c>
    </row>
    <row r="639" spans="1:9" x14ac:dyDescent="0.25">
      <c r="A639" s="4" t="str">
        <f>"1148"</f>
        <v>1148</v>
      </c>
      <c r="B639" s="4" t="s">
        <v>2730</v>
      </c>
      <c r="C639" t="s">
        <v>2731</v>
      </c>
      <c r="D639" t="s">
        <v>2732</v>
      </c>
      <c r="E639" t="str">
        <f>"294 31"</f>
        <v>294 31</v>
      </c>
      <c r="F639" t="s">
        <v>2733</v>
      </c>
      <c r="G639" t="s">
        <v>201</v>
      </c>
      <c r="H639" t="s">
        <v>120</v>
      </c>
      <c r="I639" t="s">
        <v>125</v>
      </c>
    </row>
    <row r="640" spans="1:9" x14ac:dyDescent="0.25">
      <c r="A640" s="4" t="str">
        <f>"794"</f>
        <v>794</v>
      </c>
      <c r="B640" s="4" t="s">
        <v>2734</v>
      </c>
      <c r="C640" t="s">
        <v>2735</v>
      </c>
      <c r="D640" t="s">
        <v>2736</v>
      </c>
      <c r="E640" t="str">
        <f>"293 06"</f>
        <v>293 06</v>
      </c>
      <c r="F640" t="s">
        <v>2737</v>
      </c>
      <c r="G640" t="s">
        <v>201</v>
      </c>
      <c r="H640" t="s">
        <v>120</v>
      </c>
      <c r="I640" t="s">
        <v>125</v>
      </c>
    </row>
    <row r="641" spans="1:9" x14ac:dyDescent="0.25">
      <c r="A641" s="4" t="str">
        <f>"3224"</f>
        <v>3224</v>
      </c>
      <c r="B641" s="4" t="s">
        <v>2738</v>
      </c>
      <c r="C641" t="s">
        <v>2739</v>
      </c>
      <c r="D641" t="s">
        <v>2740</v>
      </c>
      <c r="E641" t="str">
        <f>"276 01"</f>
        <v>276 01</v>
      </c>
      <c r="F641" t="s">
        <v>2741</v>
      </c>
      <c r="G641" t="s">
        <v>201</v>
      </c>
      <c r="H641" t="s">
        <v>202</v>
      </c>
      <c r="I641" t="s">
        <v>125</v>
      </c>
    </row>
    <row r="642" spans="1:9" x14ac:dyDescent="0.25">
      <c r="A642" s="4" t="str">
        <f>"4800"</f>
        <v>4800</v>
      </c>
      <c r="B642" s="4" t="s">
        <v>2749</v>
      </c>
      <c r="C642" t="s">
        <v>225</v>
      </c>
      <c r="D642" t="s">
        <v>1089</v>
      </c>
      <c r="E642" t="str">
        <f>"277 35"</f>
        <v>277 35</v>
      </c>
      <c r="F642" t="s">
        <v>2750</v>
      </c>
      <c r="G642" t="s">
        <v>201</v>
      </c>
      <c r="H642" t="s">
        <v>202</v>
      </c>
      <c r="I642" t="s">
        <v>125</v>
      </c>
    </row>
    <row r="643" spans="1:9" x14ac:dyDescent="0.25">
      <c r="A643" s="4" t="str">
        <f>"966"</f>
        <v>966</v>
      </c>
      <c r="B643" s="4" t="s">
        <v>2751</v>
      </c>
      <c r="C643" t="s">
        <v>2752</v>
      </c>
      <c r="D643" t="s">
        <v>2753</v>
      </c>
      <c r="E643" t="str">
        <f>"277 13"</f>
        <v>277 13</v>
      </c>
      <c r="F643" t="s">
        <v>2754</v>
      </c>
      <c r="G643" t="s">
        <v>201</v>
      </c>
      <c r="H643" t="s">
        <v>202</v>
      </c>
      <c r="I643" t="s">
        <v>125</v>
      </c>
    </row>
    <row r="644" spans="1:9" x14ac:dyDescent="0.25">
      <c r="A644" s="4" t="str">
        <f>"5534"</f>
        <v>5534</v>
      </c>
      <c r="B644" s="4" t="s">
        <v>2755</v>
      </c>
      <c r="C644" t="s">
        <v>1047</v>
      </c>
      <c r="D644" t="s">
        <v>2756</v>
      </c>
      <c r="E644" t="str">
        <f>"277 21"</f>
        <v>277 21</v>
      </c>
      <c r="F644" t="s">
        <v>2757</v>
      </c>
      <c r="G644" t="s">
        <v>201</v>
      </c>
      <c r="H644" t="s">
        <v>120</v>
      </c>
      <c r="I644" t="s">
        <v>125</v>
      </c>
    </row>
    <row r="645" spans="1:9" x14ac:dyDescent="0.25">
      <c r="A645" s="4" t="str">
        <f>"554"</f>
        <v>554</v>
      </c>
      <c r="B645" s="4" t="s">
        <v>2758</v>
      </c>
      <c r="C645" t="s">
        <v>2759</v>
      </c>
      <c r="D645" t="s">
        <v>2760</v>
      </c>
      <c r="E645" t="str">
        <f>"277 32"</f>
        <v>277 32</v>
      </c>
      <c r="F645" t="s">
        <v>2761</v>
      </c>
      <c r="G645" t="s">
        <v>201</v>
      </c>
      <c r="H645" t="s">
        <v>120</v>
      </c>
      <c r="I645" t="s">
        <v>125</v>
      </c>
    </row>
    <row r="646" spans="1:9" x14ac:dyDescent="0.25">
      <c r="A646" s="4" t="str">
        <f>"974"</f>
        <v>974</v>
      </c>
      <c r="B646" s="4" t="s">
        <v>2762</v>
      </c>
      <c r="C646" t="s">
        <v>2763</v>
      </c>
      <c r="D646" t="s">
        <v>2764</v>
      </c>
      <c r="E646" t="str">
        <f>"277 42"</f>
        <v>277 42</v>
      </c>
      <c r="F646" t="s">
        <v>2765</v>
      </c>
      <c r="G646" t="s">
        <v>201</v>
      </c>
      <c r="H646" t="s">
        <v>120</v>
      </c>
      <c r="I646" t="s">
        <v>125</v>
      </c>
    </row>
    <row r="647" spans="1:9" x14ac:dyDescent="0.25">
      <c r="A647" s="4" t="str">
        <f>"1163"</f>
        <v>1163</v>
      </c>
      <c r="B647" s="4" t="s">
        <v>2766</v>
      </c>
      <c r="C647" t="s">
        <v>2767</v>
      </c>
      <c r="D647" t="s">
        <v>2768</v>
      </c>
      <c r="E647" t="str">
        <f>"277 35"</f>
        <v>277 35</v>
      </c>
      <c r="F647" t="s">
        <v>2769</v>
      </c>
      <c r="G647" t="s">
        <v>201</v>
      </c>
      <c r="H647" t="s">
        <v>120</v>
      </c>
      <c r="I647" t="s">
        <v>125</v>
      </c>
    </row>
    <row r="648" spans="1:9" x14ac:dyDescent="0.25">
      <c r="A648" s="4" t="str">
        <f>"1627"</f>
        <v>1627</v>
      </c>
      <c r="B648" s="4" t="s">
        <v>2770</v>
      </c>
      <c r="C648" t="s">
        <v>2771</v>
      </c>
      <c r="D648" t="s">
        <v>2772</v>
      </c>
      <c r="E648" t="str">
        <f>"277 31"</f>
        <v>277 31</v>
      </c>
      <c r="F648" t="s">
        <v>2773</v>
      </c>
      <c r="G648" t="s">
        <v>201</v>
      </c>
      <c r="H648" t="s">
        <v>120</v>
      </c>
      <c r="I648" t="s">
        <v>125</v>
      </c>
    </row>
    <row r="649" spans="1:9" x14ac:dyDescent="0.25">
      <c r="A649" s="4" t="str">
        <f>"1628"</f>
        <v>1628</v>
      </c>
      <c r="B649" s="4" t="s">
        <v>2774</v>
      </c>
      <c r="C649" t="s">
        <v>2024</v>
      </c>
      <c r="D649" t="s">
        <v>2775</v>
      </c>
      <c r="E649" t="str">
        <f>"277 21"</f>
        <v>277 21</v>
      </c>
      <c r="F649" t="s">
        <v>2026</v>
      </c>
      <c r="G649" t="s">
        <v>201</v>
      </c>
      <c r="H649" t="s">
        <v>120</v>
      </c>
      <c r="I649" t="s">
        <v>125</v>
      </c>
    </row>
    <row r="650" spans="1:9" x14ac:dyDescent="0.25">
      <c r="A650" s="4" t="str">
        <f>"1919"</f>
        <v>1919</v>
      </c>
      <c r="B650" s="4" t="s">
        <v>2776</v>
      </c>
      <c r="C650" t="s">
        <v>2777</v>
      </c>
      <c r="D650" t="s">
        <v>2778</v>
      </c>
      <c r="E650" t="str">
        <f>"277 21"</f>
        <v>277 21</v>
      </c>
      <c r="F650" t="s">
        <v>2779</v>
      </c>
      <c r="G650" t="s">
        <v>201</v>
      </c>
      <c r="H650" t="s">
        <v>120</v>
      </c>
      <c r="I650" t="s">
        <v>125</v>
      </c>
    </row>
    <row r="651" spans="1:9" x14ac:dyDescent="0.25">
      <c r="A651" s="4" t="str">
        <f>"2042"</f>
        <v>2042</v>
      </c>
      <c r="B651" s="4" t="s">
        <v>2780</v>
      </c>
      <c r="C651" t="s">
        <v>2781</v>
      </c>
      <c r="D651" t="s">
        <v>2782</v>
      </c>
      <c r="E651" t="str">
        <f>"277 34"</f>
        <v>277 34</v>
      </c>
      <c r="F651" t="s">
        <v>2783</v>
      </c>
      <c r="G651" t="s">
        <v>201</v>
      </c>
      <c r="H651" t="s">
        <v>120</v>
      </c>
      <c r="I651" t="s">
        <v>125</v>
      </c>
    </row>
    <row r="652" spans="1:9" x14ac:dyDescent="0.25">
      <c r="A652" s="4" t="str">
        <f>"2427"</f>
        <v>2427</v>
      </c>
      <c r="B652" s="4" t="s">
        <v>2784</v>
      </c>
      <c r="C652" t="s">
        <v>2785</v>
      </c>
      <c r="D652" t="s">
        <v>2786</v>
      </c>
      <c r="E652" t="str">
        <f>"277 34"</f>
        <v>277 34</v>
      </c>
      <c r="F652" t="s">
        <v>2787</v>
      </c>
      <c r="G652" t="s">
        <v>201</v>
      </c>
      <c r="H652" t="s">
        <v>120</v>
      </c>
      <c r="I652" t="s">
        <v>125</v>
      </c>
    </row>
    <row r="653" spans="1:9" x14ac:dyDescent="0.25">
      <c r="A653" s="4" t="str">
        <f>"3486"</f>
        <v>3486</v>
      </c>
      <c r="B653" s="4" t="s">
        <v>2788</v>
      </c>
      <c r="C653" t="s">
        <v>2789</v>
      </c>
      <c r="D653" t="s">
        <v>2790</v>
      </c>
      <c r="E653" t="str">
        <f>"277 37"</f>
        <v>277 37</v>
      </c>
      <c r="F653" t="s">
        <v>2791</v>
      </c>
      <c r="G653" t="s">
        <v>201</v>
      </c>
      <c r="H653" t="s">
        <v>120</v>
      </c>
      <c r="I653" t="s">
        <v>125</v>
      </c>
    </row>
    <row r="654" spans="1:9" x14ac:dyDescent="0.25">
      <c r="A654" s="4" t="str">
        <f>"3487"</f>
        <v>3487</v>
      </c>
      <c r="B654" s="4" t="s">
        <v>2792</v>
      </c>
      <c r="C654" t="s">
        <v>2793</v>
      </c>
      <c r="D654" t="s">
        <v>2794</v>
      </c>
      <c r="E654" t="str">
        <f>"277 37"</f>
        <v>277 37</v>
      </c>
      <c r="F654" t="s">
        <v>2795</v>
      </c>
      <c r="G654" t="s">
        <v>201</v>
      </c>
      <c r="H654" t="s">
        <v>120</v>
      </c>
      <c r="I654" t="s">
        <v>125</v>
      </c>
    </row>
    <row r="655" spans="1:9" x14ac:dyDescent="0.25">
      <c r="A655" s="4" t="str">
        <f>"3988"</f>
        <v>3988</v>
      </c>
      <c r="B655" s="4" t="s">
        <v>2796</v>
      </c>
      <c r="C655" t="s">
        <v>2797</v>
      </c>
      <c r="D655" t="s">
        <v>2798</v>
      </c>
      <c r="E655" t="str">
        <f>"277 23"</f>
        <v>277 23</v>
      </c>
      <c r="F655" t="s">
        <v>2799</v>
      </c>
      <c r="G655" t="s">
        <v>201</v>
      </c>
      <c r="H655" t="s">
        <v>120</v>
      </c>
      <c r="I655" t="s">
        <v>125</v>
      </c>
    </row>
    <row r="656" spans="1:9" x14ac:dyDescent="0.25">
      <c r="A656" s="4" t="str">
        <f>"4178"</f>
        <v>4178</v>
      </c>
      <c r="B656" s="4" t="s">
        <v>2800</v>
      </c>
      <c r="C656" t="s">
        <v>2801</v>
      </c>
      <c r="D656" t="s">
        <v>2802</v>
      </c>
      <c r="E656" t="str">
        <f>"277 14"</f>
        <v>277 14</v>
      </c>
      <c r="F656" t="s">
        <v>2803</v>
      </c>
      <c r="G656" t="s">
        <v>201</v>
      </c>
      <c r="H656" t="s">
        <v>120</v>
      </c>
      <c r="I656" t="s">
        <v>125</v>
      </c>
    </row>
    <row r="657" spans="1:9" x14ac:dyDescent="0.25">
      <c r="A657" s="4" t="str">
        <f>"5022"</f>
        <v>5022</v>
      </c>
      <c r="B657" s="4" t="s">
        <v>2804</v>
      </c>
      <c r="C657" t="s">
        <v>2805</v>
      </c>
      <c r="D657" t="s">
        <v>2806</v>
      </c>
      <c r="E657" t="str">
        <f>"277 24"</f>
        <v>277 24</v>
      </c>
      <c r="F657" t="s">
        <v>2807</v>
      </c>
      <c r="G657" t="s">
        <v>201</v>
      </c>
      <c r="H657" t="s">
        <v>120</v>
      </c>
      <c r="I657" t="s">
        <v>125</v>
      </c>
    </row>
    <row r="658" spans="1:9" x14ac:dyDescent="0.25">
      <c r="A658" s="4" t="str">
        <f>"5338"</f>
        <v>5338</v>
      </c>
      <c r="B658" s="4" t="s">
        <v>2808</v>
      </c>
      <c r="C658" t="s">
        <v>2809</v>
      </c>
      <c r="D658" t="s">
        <v>2810</v>
      </c>
      <c r="E658" t="str">
        <f>"276 01"</f>
        <v>276 01</v>
      </c>
      <c r="F658" t="s">
        <v>2811</v>
      </c>
      <c r="G658" t="s">
        <v>201</v>
      </c>
      <c r="H658" t="s">
        <v>120</v>
      </c>
      <c r="I658" t="s">
        <v>125</v>
      </c>
    </row>
    <row r="659" spans="1:9" x14ac:dyDescent="0.25">
      <c r="A659" s="4" t="str">
        <f>"5511"</f>
        <v>5511</v>
      </c>
      <c r="B659" s="4" t="s">
        <v>2812</v>
      </c>
      <c r="C659" t="s">
        <v>2813</v>
      </c>
      <c r="D659" t="s">
        <v>2814</v>
      </c>
      <c r="E659" t="str">
        <f>"277 11"</f>
        <v>277 11</v>
      </c>
      <c r="F659" t="s">
        <v>2815</v>
      </c>
      <c r="G659" t="s">
        <v>201</v>
      </c>
      <c r="H659" t="s">
        <v>120</v>
      </c>
      <c r="I659" t="s">
        <v>125</v>
      </c>
    </row>
    <row r="660" spans="1:9" x14ac:dyDescent="0.25">
      <c r="A660" s="4" t="str">
        <f>"5580"</f>
        <v>5580</v>
      </c>
      <c r="B660" s="4" t="s">
        <v>2816</v>
      </c>
      <c r="C660" t="s">
        <v>2817</v>
      </c>
      <c r="D660" t="s">
        <v>2818</v>
      </c>
      <c r="E660" t="str">
        <f>"277 01"</f>
        <v>277 01</v>
      </c>
      <c r="F660" t="s">
        <v>2819</v>
      </c>
      <c r="G660" t="s">
        <v>201</v>
      </c>
      <c r="H660" t="s">
        <v>120</v>
      </c>
      <c r="I660" t="s">
        <v>125</v>
      </c>
    </row>
    <row r="661" spans="1:9" x14ac:dyDescent="0.25">
      <c r="A661" s="4" t="str">
        <f>"5644"</f>
        <v>5644</v>
      </c>
      <c r="B661" s="4" t="s">
        <v>2820</v>
      </c>
      <c r="C661" t="s">
        <v>2821</v>
      </c>
      <c r="D661" t="s">
        <v>2822</v>
      </c>
      <c r="E661" t="str">
        <f>"277 21"</f>
        <v>277 21</v>
      </c>
      <c r="F661" t="s">
        <v>2823</v>
      </c>
      <c r="G661" t="s">
        <v>201</v>
      </c>
      <c r="H661" t="s">
        <v>120</v>
      </c>
      <c r="I661" t="s">
        <v>125</v>
      </c>
    </row>
    <row r="662" spans="1:9" x14ac:dyDescent="0.25">
      <c r="A662" s="4" t="str">
        <f>"5996"</f>
        <v>5996</v>
      </c>
      <c r="B662" s="4" t="s">
        <v>2824</v>
      </c>
      <c r="C662" t="s">
        <v>2825</v>
      </c>
      <c r="D662" t="s">
        <v>2826</v>
      </c>
      <c r="E662" t="str">
        <f>"277 35"</f>
        <v>277 35</v>
      </c>
      <c r="F662" t="s">
        <v>2827</v>
      </c>
      <c r="G662" t="s">
        <v>201</v>
      </c>
      <c r="H662" t="s">
        <v>120</v>
      </c>
      <c r="I662" t="s">
        <v>125</v>
      </c>
    </row>
    <row r="663" spans="1:9" x14ac:dyDescent="0.25">
      <c r="A663" s="4" t="str">
        <f>"6016"</f>
        <v>6016</v>
      </c>
      <c r="B663" s="4" t="s">
        <v>2828</v>
      </c>
      <c r="C663" t="s">
        <v>2829</v>
      </c>
      <c r="D663" t="s">
        <v>2830</v>
      </c>
      <c r="E663" t="str">
        <f>"277 13"</f>
        <v>277 13</v>
      </c>
      <c r="F663" t="s">
        <v>2831</v>
      </c>
      <c r="G663" t="s">
        <v>201</v>
      </c>
      <c r="H663" t="s">
        <v>120</v>
      </c>
      <c r="I663" t="s">
        <v>125</v>
      </c>
    </row>
    <row r="664" spans="1:9" x14ac:dyDescent="0.25">
      <c r="A664" s="4" t="str">
        <f>"6050"</f>
        <v>6050</v>
      </c>
      <c r="B664" s="4" t="s">
        <v>2832</v>
      </c>
      <c r="C664" t="s">
        <v>2833</v>
      </c>
      <c r="D664" t="s">
        <v>2834</v>
      </c>
      <c r="E664" t="str">
        <f>"277 06"</f>
        <v>277 06</v>
      </c>
      <c r="F664" t="s">
        <v>2835</v>
      </c>
      <c r="G664" t="s">
        <v>201</v>
      </c>
      <c r="H664" t="s">
        <v>120</v>
      </c>
      <c r="I664" t="s">
        <v>125</v>
      </c>
    </row>
    <row r="665" spans="1:9" x14ac:dyDescent="0.25">
      <c r="A665" s="4" t="str">
        <f>"6057"</f>
        <v>6057</v>
      </c>
      <c r="B665" s="4" t="s">
        <v>2836</v>
      </c>
      <c r="C665" t="s">
        <v>2837</v>
      </c>
      <c r="D665" t="s">
        <v>2838</v>
      </c>
      <c r="E665" t="str">
        <f>"277 38"</f>
        <v>277 38</v>
      </c>
      <c r="F665" t="s">
        <v>2839</v>
      </c>
      <c r="G665" t="s">
        <v>201</v>
      </c>
      <c r="H665" t="s">
        <v>120</v>
      </c>
      <c r="I665" t="s">
        <v>125</v>
      </c>
    </row>
    <row r="666" spans="1:9" x14ac:dyDescent="0.25">
      <c r="A666" s="4" t="str">
        <f>"6130"</f>
        <v>6130</v>
      </c>
      <c r="B666" s="4" t="s">
        <v>2840</v>
      </c>
      <c r="C666" t="s">
        <v>2841</v>
      </c>
      <c r="D666" t="s">
        <v>2842</v>
      </c>
      <c r="E666" t="str">
        <f>"277 32"</f>
        <v>277 32</v>
      </c>
      <c r="F666" t="s">
        <v>2843</v>
      </c>
      <c r="G666" t="s">
        <v>201</v>
      </c>
      <c r="H666" t="s">
        <v>120</v>
      </c>
      <c r="I666" t="s">
        <v>125</v>
      </c>
    </row>
    <row r="667" spans="1:9" x14ac:dyDescent="0.25">
      <c r="A667" s="4" t="str">
        <f>"6202"</f>
        <v>6202</v>
      </c>
      <c r="B667" s="4" t="s">
        <v>2844</v>
      </c>
      <c r="C667" t="s">
        <v>2845</v>
      </c>
      <c r="D667" t="s">
        <v>2846</v>
      </c>
      <c r="E667" t="str">
        <f>"277 31"</f>
        <v>277 31</v>
      </c>
      <c r="F667" t="s">
        <v>2847</v>
      </c>
      <c r="G667" t="s">
        <v>201</v>
      </c>
      <c r="H667" t="s">
        <v>120</v>
      </c>
      <c r="I667" t="s">
        <v>125</v>
      </c>
    </row>
    <row r="668" spans="1:9" x14ac:dyDescent="0.25">
      <c r="A668" s="4" t="str">
        <f>"6250"</f>
        <v>6250</v>
      </c>
      <c r="B668" s="4" t="s">
        <v>2848</v>
      </c>
      <c r="C668" t="s">
        <v>2849</v>
      </c>
      <c r="D668" t="s">
        <v>2850</v>
      </c>
      <c r="E668" t="str">
        <f>"277 45"</f>
        <v>277 45</v>
      </c>
      <c r="F668" t="s">
        <v>2851</v>
      </c>
      <c r="G668" t="s">
        <v>201</v>
      </c>
      <c r="H668" t="s">
        <v>120</v>
      </c>
      <c r="I668" t="s">
        <v>125</v>
      </c>
    </row>
    <row r="669" spans="1:9" x14ac:dyDescent="0.25">
      <c r="A669" s="4" t="str">
        <f>"6379"</f>
        <v>6379</v>
      </c>
      <c r="B669" s="4" t="s">
        <v>2852</v>
      </c>
      <c r="C669" t="s">
        <v>2853</v>
      </c>
      <c r="D669" t="s">
        <v>2854</v>
      </c>
      <c r="E669" t="str">
        <f>"277 32"</f>
        <v>277 32</v>
      </c>
      <c r="F669" t="s">
        <v>2854</v>
      </c>
      <c r="G669" t="s">
        <v>201</v>
      </c>
      <c r="H669" t="s">
        <v>120</v>
      </c>
      <c r="I669" t="s">
        <v>125</v>
      </c>
    </row>
    <row r="670" spans="1:9" x14ac:dyDescent="0.25">
      <c r="A670" s="4" t="str">
        <f>"6500"</f>
        <v>6500</v>
      </c>
      <c r="B670" s="4" t="s">
        <v>2855</v>
      </c>
      <c r="C670" t="s">
        <v>2856</v>
      </c>
      <c r="D670" t="s">
        <v>2857</v>
      </c>
      <c r="E670" t="str">
        <f>"277 33"</f>
        <v>277 33</v>
      </c>
      <c r="F670" t="s">
        <v>2858</v>
      </c>
      <c r="G670" t="s">
        <v>201</v>
      </c>
      <c r="H670" t="s">
        <v>120</v>
      </c>
      <c r="I670" t="s">
        <v>125</v>
      </c>
    </row>
    <row r="671" spans="1:9" x14ac:dyDescent="0.25">
      <c r="A671" s="4" t="str">
        <f>"5971"</f>
        <v>5971</v>
      </c>
      <c r="B671" s="4" t="s">
        <v>2859</v>
      </c>
      <c r="C671" t="s">
        <v>2860</v>
      </c>
      <c r="D671" t="s">
        <v>2861</v>
      </c>
      <c r="E671" t="str">
        <f>"250 70"</f>
        <v>250 70</v>
      </c>
      <c r="F671" t="s">
        <v>2862</v>
      </c>
      <c r="G671" t="s">
        <v>201</v>
      </c>
      <c r="H671" t="s">
        <v>120</v>
      </c>
      <c r="I671" t="s">
        <v>125</v>
      </c>
    </row>
    <row r="672" spans="1:9" x14ac:dyDescent="0.25">
      <c r="A672" s="4" t="str">
        <f>"4076"</f>
        <v>4076</v>
      </c>
      <c r="B672" s="4" t="s">
        <v>2990</v>
      </c>
      <c r="C672" t="s">
        <v>2991</v>
      </c>
      <c r="D672" t="s">
        <v>2992</v>
      </c>
      <c r="E672" t="str">
        <f>"288 02"</f>
        <v>288 02</v>
      </c>
      <c r="F672" t="s">
        <v>2993</v>
      </c>
      <c r="G672" t="s">
        <v>201</v>
      </c>
      <c r="H672" t="s">
        <v>120</v>
      </c>
      <c r="I672" t="s">
        <v>125</v>
      </c>
    </row>
    <row r="673" spans="1:9" x14ac:dyDescent="0.25">
      <c r="A673" s="4" t="str">
        <f>"5514"</f>
        <v>5514</v>
      </c>
      <c r="B673" s="4" t="s">
        <v>2994</v>
      </c>
      <c r="C673" t="s">
        <v>2995</v>
      </c>
      <c r="D673" t="s">
        <v>2996</v>
      </c>
      <c r="E673" t="str">
        <f>"288 02"</f>
        <v>288 02</v>
      </c>
      <c r="F673" t="s">
        <v>2997</v>
      </c>
      <c r="G673" t="s">
        <v>201</v>
      </c>
      <c r="H673" t="s">
        <v>120</v>
      </c>
      <c r="I673" t="s">
        <v>125</v>
      </c>
    </row>
    <row r="674" spans="1:9" x14ac:dyDescent="0.25">
      <c r="A674" s="4" t="str">
        <f>"5664"</f>
        <v>5664</v>
      </c>
      <c r="B674" s="4" t="s">
        <v>2998</v>
      </c>
      <c r="C674" t="s">
        <v>2999</v>
      </c>
      <c r="D674" t="s">
        <v>3000</v>
      </c>
      <c r="E674" t="str">
        <f>"288 02"</f>
        <v>288 02</v>
      </c>
      <c r="F674" t="s">
        <v>3001</v>
      </c>
      <c r="G674" t="s">
        <v>201</v>
      </c>
      <c r="H674" t="s">
        <v>120</v>
      </c>
      <c r="I674" t="s">
        <v>125</v>
      </c>
    </row>
    <row r="675" spans="1:9" x14ac:dyDescent="0.25">
      <c r="A675" s="4" t="str">
        <f>"5700"</f>
        <v>5700</v>
      </c>
      <c r="B675" s="4" t="s">
        <v>3006</v>
      </c>
      <c r="C675" t="s">
        <v>3007</v>
      </c>
      <c r="D675" t="s">
        <v>3008</v>
      </c>
      <c r="E675" t="str">
        <f>"288 02"</f>
        <v>288 02</v>
      </c>
      <c r="F675" t="s">
        <v>3009</v>
      </c>
      <c r="G675" t="s">
        <v>201</v>
      </c>
      <c r="H675" t="s">
        <v>120</v>
      </c>
      <c r="I675" t="s">
        <v>125</v>
      </c>
    </row>
    <row r="676" spans="1:9" x14ac:dyDescent="0.25">
      <c r="A676" s="4" t="str">
        <f>"1887"</f>
        <v>1887</v>
      </c>
      <c r="B676" s="4" t="s">
        <v>3010</v>
      </c>
      <c r="C676" t="s">
        <v>1941</v>
      </c>
      <c r="D676" t="s">
        <v>3011</v>
      </c>
      <c r="E676" t="str">
        <f>"288 02"</f>
        <v>288 02</v>
      </c>
      <c r="F676" t="s">
        <v>1943</v>
      </c>
      <c r="G676" t="s">
        <v>201</v>
      </c>
      <c r="H676" t="s">
        <v>120</v>
      </c>
      <c r="I676" t="s">
        <v>125</v>
      </c>
    </row>
    <row r="677" spans="1:9" x14ac:dyDescent="0.25">
      <c r="A677" s="4" t="str">
        <f>"4842"</f>
        <v>4842</v>
      </c>
      <c r="B677" s="4" t="s">
        <v>3021</v>
      </c>
      <c r="C677" t="s">
        <v>3022</v>
      </c>
      <c r="D677" t="s">
        <v>3023</v>
      </c>
      <c r="E677" t="str">
        <f>"289 03"</f>
        <v>289 03</v>
      </c>
      <c r="F677" t="s">
        <v>3024</v>
      </c>
      <c r="G677" t="s">
        <v>201</v>
      </c>
      <c r="H677" t="s">
        <v>202</v>
      </c>
      <c r="I677" t="s">
        <v>125</v>
      </c>
    </row>
    <row r="678" spans="1:9" x14ac:dyDescent="0.25">
      <c r="A678" s="4" t="str">
        <f>"4709"</f>
        <v>4709</v>
      </c>
      <c r="B678" s="4" t="s">
        <v>3032</v>
      </c>
      <c r="C678" t="s">
        <v>217</v>
      </c>
      <c r="D678" t="s">
        <v>3033</v>
      </c>
      <c r="E678" t="str">
        <f>"289 33"</f>
        <v>289 33</v>
      </c>
      <c r="F678" t="s">
        <v>3034</v>
      </c>
      <c r="G678" t="s">
        <v>201</v>
      </c>
      <c r="H678" t="s">
        <v>120</v>
      </c>
      <c r="I678" t="s">
        <v>125</v>
      </c>
    </row>
    <row r="679" spans="1:9" x14ac:dyDescent="0.25">
      <c r="A679" s="4" t="str">
        <f>"3191"</f>
        <v>3191</v>
      </c>
      <c r="B679" s="4" t="s">
        <v>3035</v>
      </c>
      <c r="C679" t="s">
        <v>3036</v>
      </c>
      <c r="D679" t="s">
        <v>3037</v>
      </c>
      <c r="E679" t="str">
        <f>"289 34"</f>
        <v>289 34</v>
      </c>
      <c r="F679" t="s">
        <v>3038</v>
      </c>
      <c r="G679" t="s">
        <v>201</v>
      </c>
      <c r="H679" t="s">
        <v>120</v>
      </c>
      <c r="I679" t="s">
        <v>125</v>
      </c>
    </row>
    <row r="680" spans="1:9" x14ac:dyDescent="0.25">
      <c r="A680" s="4" t="str">
        <f>"3305"</f>
        <v>3305</v>
      </c>
      <c r="B680" s="4" t="s">
        <v>3039</v>
      </c>
      <c r="C680" t="s">
        <v>217</v>
      </c>
      <c r="D680" t="s">
        <v>3040</v>
      </c>
      <c r="E680" t="str">
        <f>"289 05"</f>
        <v>289 05</v>
      </c>
      <c r="F680" t="s">
        <v>3041</v>
      </c>
      <c r="G680" t="s">
        <v>201</v>
      </c>
      <c r="H680" t="s">
        <v>120</v>
      </c>
      <c r="I680" t="s">
        <v>125</v>
      </c>
    </row>
    <row r="681" spans="1:9" x14ac:dyDescent="0.25">
      <c r="A681" s="4" t="str">
        <f>"5874"</f>
        <v>5874</v>
      </c>
      <c r="B681" s="4" t="s">
        <v>3042</v>
      </c>
      <c r="C681" t="s">
        <v>3043</v>
      </c>
      <c r="D681" t="s">
        <v>3044</v>
      </c>
      <c r="E681" t="str">
        <f>"289 02"</f>
        <v>289 02</v>
      </c>
      <c r="F681" t="s">
        <v>3045</v>
      </c>
      <c r="G681" t="s">
        <v>201</v>
      </c>
      <c r="H681" t="s">
        <v>120</v>
      </c>
      <c r="I681" t="s">
        <v>125</v>
      </c>
    </row>
    <row r="682" spans="1:9" x14ac:dyDescent="0.25">
      <c r="A682" s="4" t="str">
        <f>"4689/2003"</f>
        <v>4689/2003</v>
      </c>
      <c r="B682" s="4" t="s">
        <v>3046</v>
      </c>
      <c r="C682" t="s">
        <v>3047</v>
      </c>
      <c r="D682" t="s">
        <v>3048</v>
      </c>
      <c r="E682" t="str">
        <f>"289 05"</f>
        <v>289 05</v>
      </c>
      <c r="F682" t="s">
        <v>3041</v>
      </c>
      <c r="G682" t="s">
        <v>201</v>
      </c>
      <c r="H682" t="s">
        <v>120</v>
      </c>
      <c r="I682" t="s">
        <v>125</v>
      </c>
    </row>
    <row r="683" spans="1:9" x14ac:dyDescent="0.25">
      <c r="A683" s="4" t="str">
        <f>"1942"</f>
        <v>1942</v>
      </c>
      <c r="B683" s="4" t="s">
        <v>3049</v>
      </c>
      <c r="C683" t="s">
        <v>3050</v>
      </c>
      <c r="D683" t="s">
        <v>3051</v>
      </c>
      <c r="E683" t="str">
        <f>"28921"</f>
        <v>28921</v>
      </c>
      <c r="F683" t="s">
        <v>3052</v>
      </c>
      <c r="G683" t="s">
        <v>201</v>
      </c>
      <c r="H683" t="s">
        <v>120</v>
      </c>
      <c r="I683" t="s">
        <v>125</v>
      </c>
    </row>
    <row r="684" spans="1:9" x14ac:dyDescent="0.25">
      <c r="A684" s="4" t="str">
        <f>"2438"</f>
        <v>2438</v>
      </c>
      <c r="B684" s="4" t="s">
        <v>3053</v>
      </c>
      <c r="C684" t="s">
        <v>3054</v>
      </c>
      <c r="D684" t="s">
        <v>3055</v>
      </c>
      <c r="E684" t="str">
        <f>"290 01"</f>
        <v>290 01</v>
      </c>
      <c r="F684" t="s">
        <v>3056</v>
      </c>
      <c r="G684" t="s">
        <v>201</v>
      </c>
      <c r="H684" t="s">
        <v>120</v>
      </c>
      <c r="I684" t="s">
        <v>125</v>
      </c>
    </row>
    <row r="685" spans="1:9" x14ac:dyDescent="0.25">
      <c r="A685" s="4" t="str">
        <f>"3470"</f>
        <v>3470</v>
      </c>
      <c r="B685" s="4" t="s">
        <v>3057</v>
      </c>
      <c r="C685" t="s">
        <v>3058</v>
      </c>
      <c r="D685" t="s">
        <v>3059</v>
      </c>
      <c r="E685" t="str">
        <f>"290 01"</f>
        <v>290 01</v>
      </c>
      <c r="F685" t="s">
        <v>3060</v>
      </c>
      <c r="G685" t="s">
        <v>201</v>
      </c>
      <c r="H685" t="s">
        <v>120</v>
      </c>
      <c r="I685" t="s">
        <v>125</v>
      </c>
    </row>
    <row r="686" spans="1:9" x14ac:dyDescent="0.25">
      <c r="A686" s="4" t="str">
        <f>"470"</f>
        <v>470</v>
      </c>
      <c r="B686" s="4" t="s">
        <v>3061</v>
      </c>
      <c r="C686" t="s">
        <v>3062</v>
      </c>
      <c r="D686" t="s">
        <v>3063</v>
      </c>
      <c r="E686" t="str">
        <f>"289 22"</f>
        <v>289 22</v>
      </c>
      <c r="F686" t="s">
        <v>3064</v>
      </c>
      <c r="G686" t="s">
        <v>201</v>
      </c>
      <c r="H686" t="s">
        <v>120</v>
      </c>
      <c r="I686" t="s">
        <v>125</v>
      </c>
    </row>
    <row r="687" spans="1:9" x14ac:dyDescent="0.25">
      <c r="A687" s="4" t="str">
        <f>"880"</f>
        <v>880</v>
      </c>
      <c r="B687" s="4" t="s">
        <v>3065</v>
      </c>
      <c r="C687" t="s">
        <v>3066</v>
      </c>
      <c r="D687" t="s">
        <v>3067</v>
      </c>
      <c r="E687" t="str">
        <f>"289 05"</f>
        <v>289 05</v>
      </c>
      <c r="F687" t="s">
        <v>999</v>
      </c>
      <c r="G687" t="s">
        <v>201</v>
      </c>
      <c r="H687" t="s">
        <v>120</v>
      </c>
      <c r="I687" t="s">
        <v>125</v>
      </c>
    </row>
    <row r="688" spans="1:9" x14ac:dyDescent="0.25">
      <c r="A688" s="4" t="str">
        <f>"978"</f>
        <v>978</v>
      </c>
      <c r="B688" s="4" t="s">
        <v>3068</v>
      </c>
      <c r="C688" t="s">
        <v>3069</v>
      </c>
      <c r="D688" t="s">
        <v>3070</v>
      </c>
      <c r="E688" t="str">
        <f>"290 01"</f>
        <v>290 01</v>
      </c>
      <c r="F688" t="s">
        <v>3071</v>
      </c>
      <c r="G688" t="s">
        <v>201</v>
      </c>
      <c r="H688" t="s">
        <v>120</v>
      </c>
      <c r="I688" t="s">
        <v>125</v>
      </c>
    </row>
    <row r="689" spans="1:9" x14ac:dyDescent="0.25">
      <c r="A689" s="4" t="str">
        <f>"1679"</f>
        <v>1679</v>
      </c>
      <c r="B689" s="4" t="s">
        <v>3072</v>
      </c>
      <c r="C689" t="s">
        <v>3073</v>
      </c>
      <c r="D689" t="s">
        <v>3074</v>
      </c>
      <c r="E689" t="str">
        <f>"289 15"</f>
        <v>289 15</v>
      </c>
      <c r="F689" t="s">
        <v>3075</v>
      </c>
      <c r="G689" t="s">
        <v>201</v>
      </c>
      <c r="H689" t="s">
        <v>120</v>
      </c>
      <c r="I689" t="s">
        <v>125</v>
      </c>
    </row>
    <row r="690" spans="1:9" x14ac:dyDescent="0.25">
      <c r="A690" s="4" t="str">
        <f>"2320"</f>
        <v>2320</v>
      </c>
      <c r="B690" s="4" t="s">
        <v>3076</v>
      </c>
      <c r="C690" t="s">
        <v>3077</v>
      </c>
      <c r="D690" t="s">
        <v>3078</v>
      </c>
      <c r="E690" t="str">
        <f>"289 32"</f>
        <v>289 32</v>
      </c>
      <c r="F690" t="s">
        <v>3079</v>
      </c>
      <c r="G690" t="s">
        <v>201</v>
      </c>
      <c r="H690" t="s">
        <v>120</v>
      </c>
      <c r="I690" t="s">
        <v>125</v>
      </c>
    </row>
    <row r="691" spans="1:9" x14ac:dyDescent="0.25">
      <c r="A691" s="4" t="str">
        <f>"2383"</f>
        <v>2383</v>
      </c>
      <c r="B691" s="4" t="s">
        <v>3080</v>
      </c>
      <c r="C691" t="s">
        <v>3081</v>
      </c>
      <c r="D691" t="s">
        <v>3082</v>
      </c>
      <c r="E691" t="str">
        <f>"289 03"</f>
        <v>289 03</v>
      </c>
      <c r="F691" t="s">
        <v>3083</v>
      </c>
      <c r="G691" t="s">
        <v>201</v>
      </c>
      <c r="H691" t="s">
        <v>120</v>
      </c>
      <c r="I691" t="s">
        <v>125</v>
      </c>
    </row>
    <row r="692" spans="1:9" x14ac:dyDescent="0.25">
      <c r="A692" s="4" t="str">
        <f>"2387"</f>
        <v>2387</v>
      </c>
      <c r="B692" s="4" t="s">
        <v>3084</v>
      </c>
      <c r="C692" t="s">
        <v>3085</v>
      </c>
      <c r="D692" t="s">
        <v>3086</v>
      </c>
      <c r="E692" t="str">
        <f>"289 07"</f>
        <v>289 07</v>
      </c>
      <c r="F692" t="s">
        <v>3087</v>
      </c>
      <c r="G692" t="s">
        <v>201</v>
      </c>
      <c r="H692" t="s">
        <v>120</v>
      </c>
      <c r="I692" t="s">
        <v>125</v>
      </c>
    </row>
    <row r="693" spans="1:9" x14ac:dyDescent="0.25">
      <c r="A693" s="4" t="str">
        <f>"2626"</f>
        <v>2626</v>
      </c>
      <c r="B693" s="4" t="s">
        <v>3088</v>
      </c>
      <c r="C693" t="s">
        <v>3089</v>
      </c>
      <c r="D693" t="s">
        <v>3090</v>
      </c>
      <c r="E693" t="str">
        <f>"289 12"</f>
        <v>289 12</v>
      </c>
      <c r="F693" t="s">
        <v>3091</v>
      </c>
      <c r="G693" t="s">
        <v>201</v>
      </c>
      <c r="H693" t="s">
        <v>120</v>
      </c>
      <c r="I693" t="s">
        <v>125</v>
      </c>
    </row>
    <row r="694" spans="1:9" x14ac:dyDescent="0.25">
      <c r="A694" s="4" t="str">
        <f>"2906"</f>
        <v>2906</v>
      </c>
      <c r="B694" s="4" t="s">
        <v>3092</v>
      </c>
      <c r="C694" t="s">
        <v>3093</v>
      </c>
      <c r="D694" t="s">
        <v>3094</v>
      </c>
      <c r="E694" t="str">
        <f>"289 21"</f>
        <v>289 21</v>
      </c>
      <c r="F694" t="s">
        <v>3095</v>
      </c>
      <c r="G694" t="s">
        <v>201</v>
      </c>
      <c r="H694" t="s">
        <v>120</v>
      </c>
      <c r="I694" t="s">
        <v>125</v>
      </c>
    </row>
    <row r="695" spans="1:9" x14ac:dyDescent="0.25">
      <c r="A695" s="4" t="str">
        <f>"3079"</f>
        <v>3079</v>
      </c>
      <c r="B695" s="4" t="s">
        <v>3096</v>
      </c>
      <c r="C695" t="s">
        <v>3097</v>
      </c>
      <c r="D695" t="s">
        <v>3098</v>
      </c>
      <c r="E695" t="str">
        <f>"289 04"</f>
        <v>289 04</v>
      </c>
      <c r="F695" t="s">
        <v>3099</v>
      </c>
      <c r="G695" t="s">
        <v>201</v>
      </c>
      <c r="H695" t="s">
        <v>120</v>
      </c>
      <c r="I695" t="s">
        <v>125</v>
      </c>
    </row>
    <row r="696" spans="1:9" x14ac:dyDescent="0.25">
      <c r="A696" s="4" t="str">
        <f>"3108"</f>
        <v>3108</v>
      </c>
      <c r="B696" s="4" t="s">
        <v>3100</v>
      </c>
      <c r="C696" t="s">
        <v>3101</v>
      </c>
      <c r="D696" t="s">
        <v>3102</v>
      </c>
      <c r="E696" t="str">
        <f>"290 01"</f>
        <v>290 01</v>
      </c>
      <c r="F696" t="s">
        <v>3103</v>
      </c>
      <c r="G696" t="s">
        <v>201</v>
      </c>
      <c r="H696" t="s">
        <v>120</v>
      </c>
      <c r="I696" t="s">
        <v>125</v>
      </c>
    </row>
    <row r="697" spans="1:9" x14ac:dyDescent="0.25">
      <c r="A697" s="4" t="str">
        <f>"3201"</f>
        <v>3201</v>
      </c>
      <c r="B697" s="4" t="s">
        <v>3104</v>
      </c>
      <c r="C697" t="s">
        <v>3105</v>
      </c>
      <c r="D697" t="s">
        <v>3106</v>
      </c>
      <c r="E697" t="str">
        <f>"289 13"</f>
        <v>289 13</v>
      </c>
      <c r="F697" t="s">
        <v>3107</v>
      </c>
      <c r="G697" t="s">
        <v>201</v>
      </c>
      <c r="H697" t="s">
        <v>120</v>
      </c>
      <c r="I697" t="s">
        <v>125</v>
      </c>
    </row>
    <row r="698" spans="1:9" x14ac:dyDescent="0.25">
      <c r="A698" s="4" t="str">
        <f>"3214"</f>
        <v>3214</v>
      </c>
      <c r="B698" s="4" t="s">
        <v>3108</v>
      </c>
      <c r="C698" t="s">
        <v>3109</v>
      </c>
      <c r="D698" t="s">
        <v>3110</v>
      </c>
      <c r="E698" t="str">
        <f>"289 01"</f>
        <v>289 01</v>
      </c>
      <c r="F698" t="s">
        <v>3111</v>
      </c>
      <c r="G698" t="s">
        <v>201</v>
      </c>
      <c r="H698" t="s">
        <v>120</v>
      </c>
      <c r="I698" t="s">
        <v>125</v>
      </c>
    </row>
    <row r="699" spans="1:9" x14ac:dyDescent="0.25">
      <c r="A699" s="4" t="str">
        <f>"3599"</f>
        <v>3599</v>
      </c>
      <c r="B699" s="4" t="s">
        <v>3112</v>
      </c>
      <c r="C699" t="s">
        <v>3113</v>
      </c>
      <c r="D699" t="s">
        <v>3114</v>
      </c>
      <c r="E699" t="str">
        <f>"289 04"</f>
        <v>289 04</v>
      </c>
      <c r="F699" t="s">
        <v>3115</v>
      </c>
      <c r="G699" t="s">
        <v>201</v>
      </c>
      <c r="H699" t="s">
        <v>120</v>
      </c>
      <c r="I699" t="s">
        <v>125</v>
      </c>
    </row>
    <row r="700" spans="1:9" x14ac:dyDescent="0.25">
      <c r="A700" s="4" t="str">
        <f>"3614"</f>
        <v>3614</v>
      </c>
      <c r="B700" s="4" t="s">
        <v>3116</v>
      </c>
      <c r="C700" t="s">
        <v>3117</v>
      </c>
      <c r="D700" t="s">
        <v>3118</v>
      </c>
      <c r="E700" t="str">
        <f>"290 01"</f>
        <v>290 01</v>
      </c>
      <c r="F700" t="s">
        <v>3119</v>
      </c>
      <c r="G700" t="s">
        <v>201</v>
      </c>
      <c r="H700" t="s">
        <v>120</v>
      </c>
      <c r="I700" t="s">
        <v>125</v>
      </c>
    </row>
    <row r="701" spans="1:9" x14ac:dyDescent="0.25">
      <c r="A701" s="4" t="str">
        <f>"3644"</f>
        <v>3644</v>
      </c>
      <c r="B701" s="4" t="s">
        <v>3120</v>
      </c>
      <c r="C701" t="s">
        <v>3121</v>
      </c>
      <c r="D701" t="s">
        <v>3122</v>
      </c>
      <c r="E701" t="str">
        <f>"289 07"</f>
        <v>289 07</v>
      </c>
      <c r="F701" t="s">
        <v>3123</v>
      </c>
      <c r="G701" t="s">
        <v>201</v>
      </c>
      <c r="H701" t="s">
        <v>120</v>
      </c>
      <c r="I701" t="s">
        <v>125</v>
      </c>
    </row>
    <row r="702" spans="1:9" x14ac:dyDescent="0.25">
      <c r="A702" s="4" t="str">
        <f>"3645"</f>
        <v>3645</v>
      </c>
      <c r="B702" s="4" t="s">
        <v>3124</v>
      </c>
      <c r="C702" t="s">
        <v>3125</v>
      </c>
      <c r="D702" t="s">
        <v>3126</v>
      </c>
      <c r="E702" t="str">
        <f>"289 07"</f>
        <v>289 07</v>
      </c>
      <c r="F702" t="s">
        <v>3127</v>
      </c>
      <c r="G702" t="s">
        <v>201</v>
      </c>
      <c r="H702" t="s">
        <v>120</v>
      </c>
      <c r="I702" t="s">
        <v>125</v>
      </c>
    </row>
    <row r="703" spans="1:9" x14ac:dyDescent="0.25">
      <c r="A703" s="4" t="str">
        <f>"3661"</f>
        <v>3661</v>
      </c>
      <c r="B703" s="4" t="s">
        <v>3128</v>
      </c>
      <c r="C703" t="s">
        <v>3129</v>
      </c>
      <c r="D703" t="s">
        <v>3130</v>
      </c>
      <c r="E703" t="str">
        <f>"289 15"</f>
        <v>289 15</v>
      </c>
      <c r="F703" t="s">
        <v>3131</v>
      </c>
      <c r="G703" t="s">
        <v>201</v>
      </c>
      <c r="H703" t="s">
        <v>120</v>
      </c>
      <c r="I703" t="s">
        <v>125</v>
      </c>
    </row>
    <row r="704" spans="1:9" x14ac:dyDescent="0.25">
      <c r="A704" s="4" t="str">
        <f>"3828"</f>
        <v>3828</v>
      </c>
      <c r="B704" s="4" t="s">
        <v>3132</v>
      </c>
      <c r="C704" t="s">
        <v>3133</v>
      </c>
      <c r="D704" t="s">
        <v>3134</v>
      </c>
      <c r="E704" t="str">
        <f>"289 04"</f>
        <v>289 04</v>
      </c>
      <c r="F704" t="s">
        <v>3135</v>
      </c>
      <c r="G704" t="s">
        <v>201</v>
      </c>
      <c r="H704" t="s">
        <v>120</v>
      </c>
      <c r="I704" t="s">
        <v>125</v>
      </c>
    </row>
    <row r="705" spans="1:10" x14ac:dyDescent="0.25">
      <c r="A705" s="4" t="str">
        <f>"3849"</f>
        <v>3849</v>
      </c>
      <c r="B705" s="4" t="s">
        <v>3136</v>
      </c>
      <c r="C705" t="s">
        <v>3137</v>
      </c>
      <c r="D705" t="s">
        <v>874</v>
      </c>
      <c r="E705" t="str">
        <f>"289 31"</f>
        <v>289 31</v>
      </c>
      <c r="F705" t="s">
        <v>874</v>
      </c>
      <c r="G705" t="s">
        <v>201</v>
      </c>
      <c r="H705" t="s">
        <v>120</v>
      </c>
      <c r="I705" t="s">
        <v>125</v>
      </c>
    </row>
    <row r="706" spans="1:10" x14ac:dyDescent="0.25">
      <c r="A706" s="4" t="str">
        <f>"3875"</f>
        <v>3875</v>
      </c>
      <c r="B706" s="4" t="s">
        <v>3138</v>
      </c>
      <c r="C706" t="s">
        <v>3139</v>
      </c>
      <c r="D706" t="s">
        <v>3140</v>
      </c>
      <c r="E706" t="str">
        <f>"289 16"</f>
        <v>289 16</v>
      </c>
      <c r="F706" t="s">
        <v>3141</v>
      </c>
      <c r="G706" t="s">
        <v>201</v>
      </c>
      <c r="H706" t="s">
        <v>120</v>
      </c>
      <c r="I706" t="s">
        <v>125</v>
      </c>
    </row>
    <row r="707" spans="1:10" x14ac:dyDescent="0.25">
      <c r="A707" s="4" t="str">
        <f>"4061"</f>
        <v>4061</v>
      </c>
      <c r="B707" s="4" t="s">
        <v>3142</v>
      </c>
      <c r="C707" t="s">
        <v>3143</v>
      </c>
      <c r="D707" t="s">
        <v>3144</v>
      </c>
      <c r="E707" t="str">
        <f>"289 02"</f>
        <v>289 02</v>
      </c>
      <c r="F707" t="s">
        <v>3145</v>
      </c>
      <c r="G707" t="s">
        <v>201</v>
      </c>
      <c r="H707" t="s">
        <v>120</v>
      </c>
      <c r="I707" t="s">
        <v>125</v>
      </c>
    </row>
    <row r="708" spans="1:10" x14ac:dyDescent="0.25">
      <c r="A708" s="4" t="str">
        <f>"4067"</f>
        <v>4067</v>
      </c>
      <c r="B708" s="4" t="s">
        <v>3146</v>
      </c>
      <c r="C708" t="s">
        <v>3147</v>
      </c>
      <c r="D708" t="s">
        <v>3148</v>
      </c>
      <c r="E708" t="str">
        <f>"289 16"</f>
        <v>289 16</v>
      </c>
      <c r="F708" t="s">
        <v>3149</v>
      </c>
      <c r="G708" t="s">
        <v>201</v>
      </c>
      <c r="H708" t="s">
        <v>120</v>
      </c>
      <c r="I708" t="s">
        <v>125</v>
      </c>
    </row>
    <row r="709" spans="1:10" x14ac:dyDescent="0.25">
      <c r="A709" s="4" t="str">
        <f>"4351"</f>
        <v>4351</v>
      </c>
      <c r="B709" s="4" t="s">
        <v>3150</v>
      </c>
      <c r="C709" t="s">
        <v>3151</v>
      </c>
      <c r="D709" t="s">
        <v>3152</v>
      </c>
      <c r="E709" t="str">
        <f>"289 35"</f>
        <v>289 35</v>
      </c>
      <c r="F709" t="s">
        <v>3153</v>
      </c>
      <c r="G709" t="s">
        <v>201</v>
      </c>
      <c r="H709" t="s">
        <v>120</v>
      </c>
      <c r="I709" t="s">
        <v>125</v>
      </c>
      <c r="J709" t="s">
        <v>3154</v>
      </c>
    </row>
    <row r="710" spans="1:10" x14ac:dyDescent="0.25">
      <c r="A710" s="4" t="str">
        <f>"4376"</f>
        <v>4376</v>
      </c>
      <c r="B710" s="4" t="s">
        <v>3155</v>
      </c>
      <c r="C710" t="s">
        <v>3156</v>
      </c>
      <c r="D710" t="s">
        <v>3157</v>
      </c>
      <c r="E710" t="str">
        <f>"289 36"</f>
        <v>289 36</v>
      </c>
      <c r="F710" t="s">
        <v>3158</v>
      </c>
      <c r="G710" t="s">
        <v>201</v>
      </c>
      <c r="H710" t="s">
        <v>120</v>
      </c>
      <c r="I710" t="s">
        <v>125</v>
      </c>
    </row>
    <row r="711" spans="1:10" x14ac:dyDescent="0.25">
      <c r="A711" s="4" t="str">
        <f>"4490"</f>
        <v>4490</v>
      </c>
      <c r="B711" s="4" t="s">
        <v>3159</v>
      </c>
      <c r="C711" t="s">
        <v>3160</v>
      </c>
      <c r="D711" t="s">
        <v>3161</v>
      </c>
      <c r="E711" t="str">
        <f>"289 01"</f>
        <v>289 01</v>
      </c>
      <c r="F711" t="s">
        <v>3162</v>
      </c>
      <c r="G711" t="s">
        <v>201</v>
      </c>
      <c r="H711" t="s">
        <v>120</v>
      </c>
      <c r="I711" t="s">
        <v>125</v>
      </c>
    </row>
    <row r="712" spans="1:10" x14ac:dyDescent="0.25">
      <c r="A712" s="4" t="str">
        <f>"4569"</f>
        <v>4569</v>
      </c>
      <c r="B712" s="4" t="s">
        <v>3163</v>
      </c>
      <c r="C712" t="s">
        <v>3164</v>
      </c>
      <c r="D712" t="s">
        <v>3165</v>
      </c>
      <c r="E712" t="str">
        <f>"289 07"</f>
        <v>289 07</v>
      </c>
      <c r="F712" t="s">
        <v>3166</v>
      </c>
      <c r="G712" t="s">
        <v>201</v>
      </c>
      <c r="H712" t="s">
        <v>120</v>
      </c>
      <c r="I712" t="s">
        <v>125</v>
      </c>
    </row>
    <row r="713" spans="1:10" x14ac:dyDescent="0.25">
      <c r="A713" s="4" t="str">
        <f>"4596"</f>
        <v>4596</v>
      </c>
      <c r="B713" s="4" t="s">
        <v>3167</v>
      </c>
      <c r="C713" t="s">
        <v>3168</v>
      </c>
      <c r="D713" t="s">
        <v>3169</v>
      </c>
      <c r="E713" t="str">
        <f>"289 22"</f>
        <v>289 22</v>
      </c>
      <c r="F713" t="s">
        <v>3170</v>
      </c>
      <c r="G713" t="s">
        <v>201</v>
      </c>
      <c r="H713" t="s">
        <v>120</v>
      </c>
      <c r="I713" t="s">
        <v>125</v>
      </c>
    </row>
    <row r="714" spans="1:10" x14ac:dyDescent="0.25">
      <c r="A714" s="4" t="str">
        <f>"4668"</f>
        <v>4668</v>
      </c>
      <c r="B714" s="4" t="s">
        <v>3171</v>
      </c>
      <c r="C714" t="s">
        <v>3172</v>
      </c>
      <c r="D714" t="s">
        <v>3173</v>
      </c>
      <c r="E714" t="str">
        <f>"290 01"</f>
        <v>290 01</v>
      </c>
      <c r="F714" t="s">
        <v>3174</v>
      </c>
      <c r="G714" t="s">
        <v>201</v>
      </c>
      <c r="H714" t="s">
        <v>120</v>
      </c>
      <c r="I714" t="s">
        <v>125</v>
      </c>
    </row>
    <row r="715" spans="1:10" x14ac:dyDescent="0.25">
      <c r="A715" s="4" t="str">
        <f>"4724"</f>
        <v>4724</v>
      </c>
      <c r="B715" s="4" t="s">
        <v>3175</v>
      </c>
      <c r="C715" t="s">
        <v>3176</v>
      </c>
      <c r="D715" t="s">
        <v>3177</v>
      </c>
      <c r="E715" t="str">
        <f>"289 05"</f>
        <v>289 05</v>
      </c>
      <c r="F715" t="s">
        <v>3178</v>
      </c>
      <c r="G715" t="s">
        <v>201</v>
      </c>
      <c r="H715" t="s">
        <v>120</v>
      </c>
      <c r="I715" t="s">
        <v>125</v>
      </c>
    </row>
    <row r="716" spans="1:10" x14ac:dyDescent="0.25">
      <c r="A716" s="4" t="str">
        <f>"4769"</f>
        <v>4769</v>
      </c>
      <c r="B716" s="4" t="s">
        <v>3179</v>
      </c>
      <c r="C716" t="s">
        <v>3180</v>
      </c>
      <c r="D716" t="s">
        <v>3181</v>
      </c>
      <c r="E716" t="str">
        <f>"289 37"</f>
        <v>289 37</v>
      </c>
      <c r="F716" t="s">
        <v>3182</v>
      </c>
      <c r="G716" t="s">
        <v>201</v>
      </c>
      <c r="H716" t="s">
        <v>120</v>
      </c>
      <c r="I716" t="s">
        <v>125</v>
      </c>
    </row>
    <row r="717" spans="1:10" x14ac:dyDescent="0.25">
      <c r="A717" s="4" t="str">
        <f>"4855"</f>
        <v>4855</v>
      </c>
      <c r="B717" s="4" t="s">
        <v>3183</v>
      </c>
      <c r="C717" t="s">
        <v>3184</v>
      </c>
      <c r="D717" t="s">
        <v>3185</v>
      </c>
      <c r="E717" t="str">
        <f>"289 15"</f>
        <v>289 15</v>
      </c>
      <c r="F717" t="s">
        <v>3186</v>
      </c>
      <c r="G717" t="s">
        <v>201</v>
      </c>
      <c r="H717" t="s">
        <v>120</v>
      </c>
      <c r="I717" t="s">
        <v>125</v>
      </c>
    </row>
    <row r="718" spans="1:10" x14ac:dyDescent="0.25">
      <c r="A718" s="4" t="str">
        <f>"5061"</f>
        <v>5061</v>
      </c>
      <c r="B718" s="4" t="s">
        <v>3187</v>
      </c>
      <c r="C718" t="s">
        <v>3188</v>
      </c>
      <c r="D718" t="s">
        <v>3189</v>
      </c>
      <c r="E718" t="str">
        <f>"289 11"</f>
        <v>289 11</v>
      </c>
      <c r="F718" t="s">
        <v>3190</v>
      </c>
      <c r="G718" t="s">
        <v>201</v>
      </c>
      <c r="H718" t="s">
        <v>120</v>
      </c>
      <c r="I718" t="s">
        <v>125</v>
      </c>
    </row>
    <row r="719" spans="1:10" x14ac:dyDescent="0.25">
      <c r="A719" s="4" t="str">
        <f>"5194"</f>
        <v>5194</v>
      </c>
      <c r="B719" s="4" t="s">
        <v>3191</v>
      </c>
      <c r="C719" t="s">
        <v>3192</v>
      </c>
      <c r="D719" t="s">
        <v>3193</v>
      </c>
      <c r="E719" t="str">
        <f>"289 08"</f>
        <v>289 08</v>
      </c>
      <c r="F719" t="s">
        <v>3194</v>
      </c>
      <c r="G719" t="s">
        <v>201</v>
      </c>
      <c r="H719" t="s">
        <v>120</v>
      </c>
      <c r="I719" t="s">
        <v>125</v>
      </c>
    </row>
    <row r="720" spans="1:10" x14ac:dyDescent="0.25">
      <c r="A720" s="4" t="str">
        <f>"5307"</f>
        <v>5307</v>
      </c>
      <c r="B720" s="4" t="s">
        <v>3195</v>
      </c>
      <c r="C720" t="s">
        <v>3196</v>
      </c>
      <c r="D720" t="s">
        <v>3197</v>
      </c>
      <c r="E720" t="str">
        <f>"289 22"</f>
        <v>289 22</v>
      </c>
      <c r="F720" t="s">
        <v>3198</v>
      </c>
      <c r="G720" t="s">
        <v>201</v>
      </c>
      <c r="H720" t="s">
        <v>120</v>
      </c>
      <c r="I720" t="s">
        <v>125</v>
      </c>
    </row>
    <row r="721" spans="1:10" x14ac:dyDescent="0.25">
      <c r="A721" s="4" t="str">
        <f>"5342"</f>
        <v>5342</v>
      </c>
      <c r="B721" s="4" t="s">
        <v>3199</v>
      </c>
      <c r="C721" t="s">
        <v>3200</v>
      </c>
      <c r="D721" t="s">
        <v>3201</v>
      </c>
      <c r="E721" t="str">
        <f>"289 33"</f>
        <v>289 33</v>
      </c>
      <c r="F721" t="s">
        <v>3202</v>
      </c>
      <c r="G721" t="s">
        <v>201</v>
      </c>
      <c r="H721" t="s">
        <v>120</v>
      </c>
      <c r="I721" t="s">
        <v>125</v>
      </c>
    </row>
    <row r="722" spans="1:10" x14ac:dyDescent="0.25">
      <c r="A722" s="4" t="str">
        <f>"5461"</f>
        <v>5461</v>
      </c>
      <c r="B722" s="4" t="s">
        <v>3203</v>
      </c>
      <c r="C722" t="s">
        <v>3204</v>
      </c>
      <c r="D722" t="s">
        <v>3205</v>
      </c>
      <c r="E722" t="str">
        <f>"289 26"</f>
        <v>289 26</v>
      </c>
      <c r="F722" t="s">
        <v>3206</v>
      </c>
      <c r="G722" t="s">
        <v>201</v>
      </c>
      <c r="H722" t="s">
        <v>120</v>
      </c>
      <c r="I722" t="s">
        <v>125</v>
      </c>
    </row>
    <row r="723" spans="1:10" x14ac:dyDescent="0.25">
      <c r="A723" s="4" t="str">
        <f>"5477"</f>
        <v>5477</v>
      </c>
      <c r="B723" s="4" t="s">
        <v>3207</v>
      </c>
      <c r="C723" t="s">
        <v>3208</v>
      </c>
      <c r="D723" t="s">
        <v>3209</v>
      </c>
      <c r="E723" t="str">
        <f>"289 34"</f>
        <v>289 34</v>
      </c>
      <c r="F723" t="s">
        <v>3210</v>
      </c>
      <c r="G723" t="s">
        <v>201</v>
      </c>
      <c r="H723" t="s">
        <v>120</v>
      </c>
      <c r="I723" t="s">
        <v>125</v>
      </c>
    </row>
    <row r="724" spans="1:10" x14ac:dyDescent="0.25">
      <c r="A724" s="4" t="str">
        <f>"5478"</f>
        <v>5478</v>
      </c>
      <c r="B724" s="4" t="s">
        <v>3211</v>
      </c>
      <c r="C724" t="s">
        <v>3212</v>
      </c>
      <c r="D724" t="s">
        <v>3213</v>
      </c>
      <c r="E724" t="str">
        <f>"289 12"</f>
        <v>289 12</v>
      </c>
      <c r="F724" t="s">
        <v>3214</v>
      </c>
      <c r="G724" t="s">
        <v>201</v>
      </c>
      <c r="H724" t="s">
        <v>120</v>
      </c>
      <c r="I724" t="s">
        <v>125</v>
      </c>
    </row>
    <row r="725" spans="1:10" x14ac:dyDescent="0.25">
      <c r="A725" s="4" t="str">
        <f>"5479"</f>
        <v>5479</v>
      </c>
      <c r="B725" s="4" t="s">
        <v>3215</v>
      </c>
      <c r="C725" t="s">
        <v>3216</v>
      </c>
      <c r="D725" t="s">
        <v>3217</v>
      </c>
      <c r="E725" t="str">
        <f>"289 04"</f>
        <v>289 04</v>
      </c>
      <c r="F725" t="s">
        <v>3218</v>
      </c>
      <c r="G725" t="s">
        <v>201</v>
      </c>
      <c r="H725" t="s">
        <v>120</v>
      </c>
      <c r="I725" t="s">
        <v>125</v>
      </c>
    </row>
    <row r="726" spans="1:10" x14ac:dyDescent="0.25">
      <c r="A726" s="4" t="str">
        <f>"5482"</f>
        <v>5482</v>
      </c>
      <c r="B726" s="4" t="s">
        <v>3219</v>
      </c>
      <c r="C726" t="s">
        <v>3220</v>
      </c>
      <c r="D726" t="s">
        <v>3221</v>
      </c>
      <c r="E726" t="str">
        <f>"289 16"</f>
        <v>289 16</v>
      </c>
      <c r="F726" t="s">
        <v>3222</v>
      </c>
      <c r="G726" t="s">
        <v>201</v>
      </c>
      <c r="H726" t="s">
        <v>120</v>
      </c>
      <c r="I726" t="s">
        <v>125</v>
      </c>
    </row>
    <row r="727" spans="1:10" x14ac:dyDescent="0.25">
      <c r="A727" s="4" t="str">
        <f>"5493"</f>
        <v>5493</v>
      </c>
      <c r="B727" s="4" t="s">
        <v>3223</v>
      </c>
      <c r="C727" t="s">
        <v>3224</v>
      </c>
      <c r="D727" t="s">
        <v>3225</v>
      </c>
      <c r="E727" t="str">
        <f>"289 03"</f>
        <v>289 03</v>
      </c>
      <c r="F727" t="s">
        <v>3226</v>
      </c>
      <c r="G727" t="s">
        <v>201</v>
      </c>
      <c r="H727" t="s">
        <v>120</v>
      </c>
      <c r="I727" t="s">
        <v>125</v>
      </c>
    </row>
    <row r="728" spans="1:10" x14ac:dyDescent="0.25">
      <c r="A728" s="4" t="str">
        <f>"5494"</f>
        <v>5494</v>
      </c>
      <c r="B728" s="4" t="s">
        <v>3227</v>
      </c>
      <c r="C728" t="s">
        <v>3228</v>
      </c>
      <c r="D728" t="s">
        <v>3229</v>
      </c>
      <c r="E728" t="str">
        <f>"289 25"</f>
        <v>289 25</v>
      </c>
      <c r="F728" t="s">
        <v>3230</v>
      </c>
      <c r="G728" t="s">
        <v>201</v>
      </c>
      <c r="H728" t="s">
        <v>120</v>
      </c>
      <c r="I728" t="s">
        <v>125</v>
      </c>
    </row>
    <row r="729" spans="1:10" x14ac:dyDescent="0.25">
      <c r="A729" s="4" t="str">
        <f>"5502"</f>
        <v>5502</v>
      </c>
      <c r="B729" s="4" t="s">
        <v>3231</v>
      </c>
      <c r="C729" t="s">
        <v>3232</v>
      </c>
      <c r="D729" t="s">
        <v>3233</v>
      </c>
      <c r="E729" t="str">
        <f>"290 01"</f>
        <v>290 01</v>
      </c>
      <c r="F729" t="s">
        <v>3234</v>
      </c>
      <c r="G729" t="s">
        <v>201</v>
      </c>
      <c r="H729" t="s">
        <v>120</v>
      </c>
      <c r="I729" t="s">
        <v>125</v>
      </c>
    </row>
    <row r="730" spans="1:10" x14ac:dyDescent="0.25">
      <c r="A730" s="4" t="str">
        <f>"5531"</f>
        <v>5531</v>
      </c>
      <c r="B730" s="4" t="s">
        <v>3235</v>
      </c>
      <c r="C730" t="s">
        <v>3236</v>
      </c>
      <c r="D730" t="s">
        <v>3237</v>
      </c>
      <c r="E730" t="str">
        <f>"289 03"</f>
        <v>289 03</v>
      </c>
      <c r="F730" t="s">
        <v>3238</v>
      </c>
      <c r="G730" t="s">
        <v>201</v>
      </c>
      <c r="H730" t="s">
        <v>120</v>
      </c>
      <c r="I730" t="s">
        <v>125</v>
      </c>
      <c r="J730" t="s">
        <v>3239</v>
      </c>
    </row>
    <row r="731" spans="1:10" x14ac:dyDescent="0.25">
      <c r="A731" s="4" t="str">
        <f>"5551"</f>
        <v>5551</v>
      </c>
      <c r="B731" s="4" t="s">
        <v>3240</v>
      </c>
      <c r="C731" t="s">
        <v>3241</v>
      </c>
      <c r="D731" t="s">
        <v>3242</v>
      </c>
      <c r="E731" t="str">
        <f>"289 11"</f>
        <v>289 11</v>
      </c>
      <c r="F731" t="s">
        <v>3243</v>
      </c>
      <c r="G731" t="s">
        <v>201</v>
      </c>
      <c r="H731" t="s">
        <v>120</v>
      </c>
      <c r="I731" t="s">
        <v>125</v>
      </c>
    </row>
    <row r="732" spans="1:10" x14ac:dyDescent="0.25">
      <c r="A732" s="4" t="str">
        <f>"5585"</f>
        <v>5585</v>
      </c>
      <c r="B732" s="4" t="s">
        <v>3244</v>
      </c>
      <c r="C732" t="s">
        <v>3245</v>
      </c>
      <c r="D732" t="s">
        <v>3246</v>
      </c>
      <c r="E732" t="str">
        <f>"289 32"</f>
        <v>289 32</v>
      </c>
      <c r="F732" t="s">
        <v>3247</v>
      </c>
      <c r="G732" t="s">
        <v>201</v>
      </c>
      <c r="H732" t="s">
        <v>120</v>
      </c>
      <c r="I732" t="s">
        <v>125</v>
      </c>
    </row>
    <row r="733" spans="1:10" x14ac:dyDescent="0.25">
      <c r="A733" s="4" t="str">
        <f>"5669"</f>
        <v>5669</v>
      </c>
      <c r="B733" s="4" t="s">
        <v>3248</v>
      </c>
      <c r="C733" t="s">
        <v>502</v>
      </c>
      <c r="D733" t="s">
        <v>3249</v>
      </c>
      <c r="E733" t="str">
        <f>"289 12"</f>
        <v>289 12</v>
      </c>
      <c r="F733" t="s">
        <v>504</v>
      </c>
      <c r="G733" t="s">
        <v>201</v>
      </c>
      <c r="H733" t="s">
        <v>120</v>
      </c>
      <c r="I733" t="s">
        <v>125</v>
      </c>
    </row>
    <row r="734" spans="1:10" x14ac:dyDescent="0.25">
      <c r="A734" s="4" t="str">
        <f>"5735"</f>
        <v>5735</v>
      </c>
      <c r="B734" s="4" t="s">
        <v>3250</v>
      </c>
      <c r="C734" t="s">
        <v>3251</v>
      </c>
      <c r="D734" t="s">
        <v>3252</v>
      </c>
      <c r="E734" t="str">
        <f>"289 01"</f>
        <v>289 01</v>
      </c>
      <c r="F734" t="s">
        <v>3253</v>
      </c>
      <c r="G734" t="s">
        <v>201</v>
      </c>
      <c r="H734" t="s">
        <v>120</v>
      </c>
      <c r="I734" t="s">
        <v>125</v>
      </c>
    </row>
    <row r="735" spans="1:10" x14ac:dyDescent="0.25">
      <c r="A735" s="4" t="str">
        <f>"5739"</f>
        <v>5739</v>
      </c>
      <c r="B735" s="4" t="s">
        <v>3254</v>
      </c>
      <c r="C735" t="s">
        <v>3255</v>
      </c>
      <c r="D735" t="s">
        <v>3256</v>
      </c>
      <c r="E735" t="str">
        <f>"289 13"</f>
        <v>289 13</v>
      </c>
      <c r="F735" t="s">
        <v>3257</v>
      </c>
      <c r="G735" t="s">
        <v>201</v>
      </c>
      <c r="H735" t="s">
        <v>120</v>
      </c>
      <c r="I735" t="s">
        <v>125</v>
      </c>
    </row>
    <row r="736" spans="1:10" x14ac:dyDescent="0.25">
      <c r="A736" s="4" t="str">
        <f>"5740"</f>
        <v>5740</v>
      </c>
      <c r="B736" s="4" t="s">
        <v>3258</v>
      </c>
      <c r="C736" t="s">
        <v>3259</v>
      </c>
      <c r="D736" t="s">
        <v>3260</v>
      </c>
      <c r="E736" t="str">
        <f>"289 13"</f>
        <v>289 13</v>
      </c>
      <c r="F736" t="s">
        <v>3261</v>
      </c>
      <c r="G736" t="s">
        <v>201</v>
      </c>
      <c r="H736" t="s">
        <v>120</v>
      </c>
      <c r="I736" t="s">
        <v>125</v>
      </c>
    </row>
    <row r="737" spans="1:9" x14ac:dyDescent="0.25">
      <c r="A737" s="4" t="str">
        <f>"5803"</f>
        <v>5803</v>
      </c>
      <c r="B737" s="4" t="s">
        <v>3262</v>
      </c>
      <c r="C737" t="s">
        <v>3263</v>
      </c>
      <c r="D737" t="s">
        <v>3264</v>
      </c>
      <c r="E737" t="str">
        <f>"289 06"</f>
        <v>289 06</v>
      </c>
      <c r="F737" t="s">
        <v>3265</v>
      </c>
      <c r="G737" t="s">
        <v>201</v>
      </c>
      <c r="H737" t="s">
        <v>120</v>
      </c>
      <c r="I737" t="s">
        <v>125</v>
      </c>
    </row>
    <row r="738" spans="1:9" x14ac:dyDescent="0.25">
      <c r="A738" s="4" t="str">
        <f>"6045"</f>
        <v>6045</v>
      </c>
      <c r="B738" s="4" t="s">
        <v>3266</v>
      </c>
      <c r="C738" t="s">
        <v>3267</v>
      </c>
      <c r="D738" t="s">
        <v>3268</v>
      </c>
      <c r="E738" t="str">
        <f>"289 01"</f>
        <v>289 01</v>
      </c>
      <c r="F738" t="s">
        <v>3269</v>
      </c>
      <c r="G738" t="s">
        <v>201</v>
      </c>
      <c r="H738" t="s">
        <v>120</v>
      </c>
      <c r="I738" t="s">
        <v>125</v>
      </c>
    </row>
    <row r="739" spans="1:9" x14ac:dyDescent="0.25">
      <c r="A739" s="4" t="str">
        <f>"6056"</f>
        <v>6056</v>
      </c>
      <c r="B739" s="4" t="s">
        <v>3270</v>
      </c>
      <c r="C739" t="s">
        <v>3271</v>
      </c>
      <c r="D739" t="s">
        <v>3272</v>
      </c>
      <c r="E739" t="str">
        <f>"289 22"</f>
        <v>289 22</v>
      </c>
      <c r="F739" t="s">
        <v>3273</v>
      </c>
      <c r="G739" t="s">
        <v>201</v>
      </c>
      <c r="H739" t="s">
        <v>120</v>
      </c>
      <c r="I739" t="s">
        <v>125</v>
      </c>
    </row>
    <row r="740" spans="1:9" x14ac:dyDescent="0.25">
      <c r="A740" s="4" t="str">
        <f>"6084"</f>
        <v>6084</v>
      </c>
      <c r="B740" s="4" t="s">
        <v>3274</v>
      </c>
      <c r="C740" t="s">
        <v>3275</v>
      </c>
      <c r="D740" t="s">
        <v>3276</v>
      </c>
      <c r="E740" t="str">
        <f>"289 32"</f>
        <v>289 32</v>
      </c>
      <c r="F740" t="s">
        <v>3277</v>
      </c>
      <c r="G740" t="s">
        <v>201</v>
      </c>
      <c r="H740" t="s">
        <v>120</v>
      </c>
      <c r="I740" t="s">
        <v>125</v>
      </c>
    </row>
    <row r="741" spans="1:9" x14ac:dyDescent="0.25">
      <c r="A741" s="4" t="str">
        <f>"6099"</f>
        <v>6099</v>
      </c>
      <c r="B741" s="4" t="s">
        <v>3278</v>
      </c>
      <c r="C741" t="s">
        <v>3279</v>
      </c>
      <c r="D741" t="s">
        <v>3280</v>
      </c>
      <c r="E741" t="str">
        <f>"289 08"</f>
        <v>289 08</v>
      </c>
      <c r="F741" t="s">
        <v>3281</v>
      </c>
      <c r="G741" t="s">
        <v>201</v>
      </c>
      <c r="H741" t="s">
        <v>120</v>
      </c>
      <c r="I741" t="s">
        <v>125</v>
      </c>
    </row>
    <row r="742" spans="1:9" x14ac:dyDescent="0.25">
      <c r="A742" s="4" t="str">
        <f>"6067"</f>
        <v>6067</v>
      </c>
      <c r="B742" s="4" t="s">
        <v>3282</v>
      </c>
      <c r="C742" t="s">
        <v>3283</v>
      </c>
      <c r="D742" t="s">
        <v>3284</v>
      </c>
      <c r="E742" t="str">
        <f>"290 01"</f>
        <v>290 01</v>
      </c>
      <c r="F742" t="s">
        <v>3285</v>
      </c>
      <c r="G742" t="s">
        <v>201</v>
      </c>
      <c r="H742" t="s">
        <v>120</v>
      </c>
      <c r="I742" t="s">
        <v>125</v>
      </c>
    </row>
    <row r="743" spans="1:9" x14ac:dyDescent="0.25">
      <c r="A743" s="4" t="str">
        <f>"6068"</f>
        <v>6068</v>
      </c>
      <c r="B743" s="4" t="s">
        <v>3286</v>
      </c>
      <c r="C743" t="s">
        <v>3287</v>
      </c>
      <c r="D743" t="s">
        <v>3288</v>
      </c>
      <c r="E743" t="str">
        <f>"290 01"</f>
        <v>290 01</v>
      </c>
      <c r="F743" t="s">
        <v>3289</v>
      </c>
      <c r="G743" t="s">
        <v>201</v>
      </c>
      <c r="H743" t="s">
        <v>120</v>
      </c>
      <c r="I743" t="s">
        <v>125</v>
      </c>
    </row>
    <row r="744" spans="1:9" x14ac:dyDescent="0.25">
      <c r="A744" s="4" t="str">
        <f>"1733"</f>
        <v>1733</v>
      </c>
      <c r="B744" s="4" t="s">
        <v>3590</v>
      </c>
      <c r="C744" t="s">
        <v>3591</v>
      </c>
      <c r="D744" t="s">
        <v>3592</v>
      </c>
      <c r="E744" t="str">
        <f t="shared" ref="E744:E749" si="3">"261 01"</f>
        <v>261 01</v>
      </c>
      <c r="F744" t="s">
        <v>3593</v>
      </c>
      <c r="G744" t="s">
        <v>201</v>
      </c>
      <c r="H744" t="s">
        <v>120</v>
      </c>
      <c r="I744" t="s">
        <v>125</v>
      </c>
    </row>
    <row r="745" spans="1:9" x14ac:dyDescent="0.25">
      <c r="A745" s="4" t="str">
        <f>"5399"</f>
        <v>5399</v>
      </c>
      <c r="B745" s="4" t="s">
        <v>3594</v>
      </c>
      <c r="C745" t="s">
        <v>3595</v>
      </c>
      <c r="D745" t="s">
        <v>3596</v>
      </c>
      <c r="E745" t="str">
        <f t="shared" si="3"/>
        <v>261 01</v>
      </c>
      <c r="F745" t="s">
        <v>3597</v>
      </c>
      <c r="G745" t="s">
        <v>201</v>
      </c>
      <c r="H745" t="s">
        <v>120</v>
      </c>
      <c r="I745" t="s">
        <v>125</v>
      </c>
    </row>
    <row r="746" spans="1:9" x14ac:dyDescent="0.25">
      <c r="A746" s="4" t="str">
        <f>"5665"</f>
        <v>5665</v>
      </c>
      <c r="B746" s="4" t="s">
        <v>3598</v>
      </c>
      <c r="C746" t="s">
        <v>3599</v>
      </c>
      <c r="D746" t="s">
        <v>3600</v>
      </c>
      <c r="E746" t="str">
        <f t="shared" si="3"/>
        <v>261 01</v>
      </c>
      <c r="F746" t="s">
        <v>3601</v>
      </c>
      <c r="G746" t="s">
        <v>201</v>
      </c>
      <c r="H746" t="s">
        <v>120</v>
      </c>
      <c r="I746" t="s">
        <v>125</v>
      </c>
    </row>
    <row r="747" spans="1:9" x14ac:dyDescent="0.25">
      <c r="A747" s="4" t="str">
        <f>"5824"</f>
        <v>5824</v>
      </c>
      <c r="B747" s="4" t="s">
        <v>3602</v>
      </c>
      <c r="C747" t="s">
        <v>3603</v>
      </c>
      <c r="D747" t="s">
        <v>3604</v>
      </c>
      <c r="E747" t="str">
        <f t="shared" si="3"/>
        <v>261 01</v>
      </c>
      <c r="F747" t="s">
        <v>3604</v>
      </c>
      <c r="G747" t="s">
        <v>201</v>
      </c>
      <c r="H747" t="s">
        <v>120</v>
      </c>
      <c r="I747" t="s">
        <v>125</v>
      </c>
    </row>
    <row r="748" spans="1:9" x14ac:dyDescent="0.25">
      <c r="A748" s="4" t="str">
        <f>"6114"</f>
        <v>6114</v>
      </c>
      <c r="B748" s="4" t="s">
        <v>3605</v>
      </c>
      <c r="C748" t="s">
        <v>3606</v>
      </c>
      <c r="D748" t="s">
        <v>3607</v>
      </c>
      <c r="E748" t="str">
        <f t="shared" si="3"/>
        <v>261 01</v>
      </c>
      <c r="F748" t="s">
        <v>3607</v>
      </c>
      <c r="G748" t="s">
        <v>201</v>
      </c>
      <c r="H748" t="s">
        <v>120</v>
      </c>
      <c r="I748" t="s">
        <v>125</v>
      </c>
    </row>
    <row r="749" spans="1:9" x14ac:dyDescent="0.25">
      <c r="A749" s="4" t="str">
        <f>"6537"</f>
        <v>6537</v>
      </c>
      <c r="B749" s="4" t="s">
        <v>3608</v>
      </c>
      <c r="C749" t="s">
        <v>3609</v>
      </c>
      <c r="D749" t="s">
        <v>3610</v>
      </c>
      <c r="E749" t="str">
        <f t="shared" si="3"/>
        <v>261 01</v>
      </c>
      <c r="F749" t="s">
        <v>3611</v>
      </c>
      <c r="G749" t="s">
        <v>201</v>
      </c>
      <c r="H749" t="s">
        <v>120</v>
      </c>
      <c r="I749" t="s">
        <v>125</v>
      </c>
    </row>
    <row r="750" spans="1:9" x14ac:dyDescent="0.25">
      <c r="A750" s="4" t="str">
        <f>"2732"</f>
        <v>2732</v>
      </c>
      <c r="B750" s="4" t="s">
        <v>3628</v>
      </c>
      <c r="C750" t="s">
        <v>217</v>
      </c>
      <c r="D750" t="s">
        <v>3629</v>
      </c>
      <c r="E750" t="str">
        <f>"262 55"</f>
        <v>262 55</v>
      </c>
      <c r="F750" t="s">
        <v>3630</v>
      </c>
      <c r="G750" t="s">
        <v>201</v>
      </c>
      <c r="H750" t="s">
        <v>120</v>
      </c>
      <c r="I750" t="s">
        <v>125</v>
      </c>
    </row>
    <row r="751" spans="1:9" x14ac:dyDescent="0.25">
      <c r="A751" s="4" t="str">
        <f>"3631"</f>
        <v>3631</v>
      </c>
      <c r="B751" s="4" t="s">
        <v>3631</v>
      </c>
      <c r="C751" t="s">
        <v>1047</v>
      </c>
      <c r="D751" t="s">
        <v>3632</v>
      </c>
      <c r="E751" t="str">
        <f>"262 23"</f>
        <v>262 23</v>
      </c>
      <c r="F751" t="s">
        <v>3633</v>
      </c>
      <c r="G751" t="s">
        <v>201</v>
      </c>
      <c r="H751" t="s">
        <v>120</v>
      </c>
      <c r="I751" t="s">
        <v>125</v>
      </c>
    </row>
    <row r="752" spans="1:9" x14ac:dyDescent="0.25">
      <c r="A752" s="4" t="str">
        <f>"6184"</f>
        <v>6184</v>
      </c>
      <c r="B752" s="4" t="s">
        <v>3634</v>
      </c>
      <c r="C752" t="s">
        <v>601</v>
      </c>
      <c r="D752" t="s">
        <v>3635</v>
      </c>
      <c r="E752" t="str">
        <f>"262 72"</f>
        <v>262 72</v>
      </c>
      <c r="F752" t="s">
        <v>603</v>
      </c>
      <c r="G752" t="s">
        <v>201</v>
      </c>
      <c r="H752" t="s">
        <v>120</v>
      </c>
      <c r="I752" t="s">
        <v>125</v>
      </c>
    </row>
    <row r="753" spans="1:9" x14ac:dyDescent="0.25">
      <c r="A753" s="4" t="str">
        <f>"786"</f>
        <v>786</v>
      </c>
      <c r="B753" s="4" t="s">
        <v>3636</v>
      </c>
      <c r="C753" t="s">
        <v>3637</v>
      </c>
      <c r="D753" t="s">
        <v>3638</v>
      </c>
      <c r="E753" t="str">
        <f>"264 01"</f>
        <v>264 01</v>
      </c>
      <c r="F753" t="s">
        <v>3639</v>
      </c>
      <c r="G753" t="s">
        <v>201</v>
      </c>
      <c r="H753" t="s">
        <v>120</v>
      </c>
      <c r="I753" t="s">
        <v>125</v>
      </c>
    </row>
    <row r="754" spans="1:9" x14ac:dyDescent="0.25">
      <c r="A754" s="4" t="str">
        <f>"1458"</f>
        <v>1458</v>
      </c>
      <c r="B754" s="4" t="s">
        <v>3640</v>
      </c>
      <c r="C754" t="s">
        <v>3641</v>
      </c>
      <c r="D754" t="s">
        <v>3633</v>
      </c>
      <c r="E754" t="str">
        <f>"262 23"</f>
        <v>262 23</v>
      </c>
      <c r="F754" t="s">
        <v>3642</v>
      </c>
      <c r="G754" t="s">
        <v>201</v>
      </c>
      <c r="H754" t="s">
        <v>120</v>
      </c>
      <c r="I754" t="s">
        <v>125</v>
      </c>
    </row>
    <row r="755" spans="1:9" x14ac:dyDescent="0.25">
      <c r="A755" s="4" t="str">
        <f>"1460"</f>
        <v>1460</v>
      </c>
      <c r="B755" s="4" t="s">
        <v>3643</v>
      </c>
      <c r="C755" t="s">
        <v>3644</v>
      </c>
      <c r="D755" t="s">
        <v>3645</v>
      </c>
      <c r="E755" t="str">
        <f>"262 34"</f>
        <v>262 34</v>
      </c>
      <c r="F755" t="s">
        <v>3646</v>
      </c>
      <c r="G755" t="s">
        <v>201</v>
      </c>
      <c r="H755" t="s">
        <v>120</v>
      </c>
      <c r="I755" t="s">
        <v>125</v>
      </c>
    </row>
    <row r="756" spans="1:9" x14ac:dyDescent="0.25">
      <c r="A756" s="4" t="str">
        <f>"1459"</f>
        <v>1459</v>
      </c>
      <c r="B756" s="4" t="s">
        <v>3647</v>
      </c>
      <c r="C756" t="s">
        <v>3648</v>
      </c>
      <c r="D756" t="s">
        <v>3649</v>
      </c>
      <c r="E756" t="str">
        <f>"264 01"</f>
        <v>264 01</v>
      </c>
      <c r="F756" t="s">
        <v>246</v>
      </c>
      <c r="G756" t="s">
        <v>201</v>
      </c>
      <c r="H756" t="s">
        <v>120</v>
      </c>
      <c r="I756" t="s">
        <v>125</v>
      </c>
    </row>
    <row r="757" spans="1:9" x14ac:dyDescent="0.25">
      <c r="A757" s="4" t="str">
        <f>"1461"</f>
        <v>1461</v>
      </c>
      <c r="B757" s="4" t="s">
        <v>3650</v>
      </c>
      <c r="C757" t="s">
        <v>3651</v>
      </c>
      <c r="D757" t="s">
        <v>3652</v>
      </c>
      <c r="E757" t="str">
        <f>"262 56"</f>
        <v>262 56</v>
      </c>
      <c r="F757" t="s">
        <v>3653</v>
      </c>
      <c r="G757" t="s">
        <v>201</v>
      </c>
      <c r="H757" t="s">
        <v>120</v>
      </c>
      <c r="I757" t="s">
        <v>125</v>
      </c>
    </row>
    <row r="758" spans="1:9" x14ac:dyDescent="0.25">
      <c r="A758" s="4" t="str">
        <f>"1833"</f>
        <v>1833</v>
      </c>
      <c r="B758" s="4" t="s">
        <v>3654</v>
      </c>
      <c r="C758" t="s">
        <v>3655</v>
      </c>
      <c r="D758" t="s">
        <v>3656</v>
      </c>
      <c r="E758" t="str">
        <f>"262 72"</f>
        <v>262 72</v>
      </c>
      <c r="F758" t="s">
        <v>3657</v>
      </c>
      <c r="G758" t="s">
        <v>201</v>
      </c>
      <c r="H758" t="s">
        <v>120</v>
      </c>
      <c r="I758" t="s">
        <v>125</v>
      </c>
    </row>
    <row r="759" spans="1:9" x14ac:dyDescent="0.25">
      <c r="A759" s="4" t="str">
        <f>"1835"</f>
        <v>1835</v>
      </c>
      <c r="B759" s="4" t="s">
        <v>3658</v>
      </c>
      <c r="C759" t="s">
        <v>3659</v>
      </c>
      <c r="D759" t="s">
        <v>3660</v>
      </c>
      <c r="E759" t="str">
        <f>"262 43"</f>
        <v>262 43</v>
      </c>
      <c r="F759" t="s">
        <v>3661</v>
      </c>
      <c r="G759" t="s">
        <v>201</v>
      </c>
      <c r="H759" t="s">
        <v>120</v>
      </c>
      <c r="I759" t="s">
        <v>125</v>
      </c>
    </row>
    <row r="760" spans="1:9" x14ac:dyDescent="0.25">
      <c r="A760" s="4" t="str">
        <f>"2066"</f>
        <v>2066</v>
      </c>
      <c r="B760" s="4" t="s">
        <v>3662</v>
      </c>
      <c r="C760" t="s">
        <v>3663</v>
      </c>
      <c r="D760" t="s">
        <v>3664</v>
      </c>
      <c r="E760" t="str">
        <f>"261 01"</f>
        <v>261 01</v>
      </c>
      <c r="F760" t="s">
        <v>3665</v>
      </c>
      <c r="G760" t="s">
        <v>201</v>
      </c>
      <c r="H760" t="s">
        <v>120</v>
      </c>
      <c r="I760" t="s">
        <v>125</v>
      </c>
    </row>
    <row r="761" spans="1:9" x14ac:dyDescent="0.25">
      <c r="A761" s="4" t="str">
        <f>"2337"</f>
        <v>2337</v>
      </c>
      <c r="B761" s="4" t="s">
        <v>3666</v>
      </c>
      <c r="C761" t="s">
        <v>3667</v>
      </c>
      <c r="D761" t="s">
        <v>3668</v>
      </c>
      <c r="E761" t="str">
        <f>"262 84"</f>
        <v>262 84</v>
      </c>
      <c r="F761" t="s">
        <v>3669</v>
      </c>
      <c r="G761" t="s">
        <v>201</v>
      </c>
      <c r="H761" t="s">
        <v>120</v>
      </c>
      <c r="I761" t="s">
        <v>125</v>
      </c>
    </row>
    <row r="762" spans="1:9" x14ac:dyDescent="0.25">
      <c r="A762" s="4" t="str">
        <f>"2349"</f>
        <v>2349</v>
      </c>
      <c r="B762" s="4" t="s">
        <v>3670</v>
      </c>
      <c r="C762" t="s">
        <v>3671</v>
      </c>
      <c r="D762" t="s">
        <v>3672</v>
      </c>
      <c r="E762" t="str">
        <f>"262 02"</f>
        <v>262 02</v>
      </c>
      <c r="F762" t="s">
        <v>3673</v>
      </c>
      <c r="G762" t="s">
        <v>201</v>
      </c>
      <c r="H762" t="s">
        <v>120</v>
      </c>
      <c r="I762" t="s">
        <v>125</v>
      </c>
    </row>
    <row r="763" spans="1:9" x14ac:dyDescent="0.25">
      <c r="A763" s="4" t="str">
        <f>"3105"</f>
        <v>3105</v>
      </c>
      <c r="B763" s="4" t="s">
        <v>3674</v>
      </c>
      <c r="C763" t="s">
        <v>3675</v>
      </c>
      <c r="D763" t="s">
        <v>3676</v>
      </c>
      <c r="E763" t="str">
        <f>"262 32"</f>
        <v>262 32</v>
      </c>
      <c r="F763" t="s">
        <v>3677</v>
      </c>
      <c r="G763" t="s">
        <v>201</v>
      </c>
      <c r="H763" t="s">
        <v>120</v>
      </c>
      <c r="I763" t="s">
        <v>125</v>
      </c>
    </row>
    <row r="764" spans="1:9" x14ac:dyDescent="0.25">
      <c r="A764" s="4" t="str">
        <f>"3106"</f>
        <v>3106</v>
      </c>
      <c r="B764" s="4" t="s">
        <v>3678</v>
      </c>
      <c r="C764" t="s">
        <v>3679</v>
      </c>
      <c r="D764" t="s">
        <v>3680</v>
      </c>
      <c r="E764" t="str">
        <f>"262 31"</f>
        <v>262 31</v>
      </c>
      <c r="F764" t="s">
        <v>3681</v>
      </c>
      <c r="G764" t="s">
        <v>201</v>
      </c>
      <c r="H764" t="s">
        <v>120</v>
      </c>
      <c r="I764" t="s">
        <v>125</v>
      </c>
    </row>
    <row r="765" spans="1:9" x14ac:dyDescent="0.25">
      <c r="A765" s="4" t="str">
        <f>"3594"</f>
        <v>3594</v>
      </c>
      <c r="B765" s="4" t="s">
        <v>3682</v>
      </c>
      <c r="C765" t="s">
        <v>3683</v>
      </c>
      <c r="D765" t="s">
        <v>3684</v>
      </c>
      <c r="E765" t="str">
        <f>"262 03"</f>
        <v>262 03</v>
      </c>
      <c r="F765" t="s">
        <v>3685</v>
      </c>
      <c r="G765" t="s">
        <v>201</v>
      </c>
      <c r="H765" t="s">
        <v>120</v>
      </c>
      <c r="I765" t="s">
        <v>125</v>
      </c>
    </row>
    <row r="766" spans="1:9" x14ac:dyDescent="0.25">
      <c r="A766" s="4" t="str">
        <f>"3905"</f>
        <v>3905</v>
      </c>
      <c r="B766" s="4" t="s">
        <v>3686</v>
      </c>
      <c r="C766" t="s">
        <v>3687</v>
      </c>
      <c r="D766" t="s">
        <v>3688</v>
      </c>
      <c r="E766" t="str">
        <f>"262 42"</f>
        <v>262 42</v>
      </c>
      <c r="F766" t="s">
        <v>3689</v>
      </c>
      <c r="G766" t="s">
        <v>201</v>
      </c>
      <c r="H766" t="s">
        <v>120</v>
      </c>
      <c r="I766" t="s">
        <v>125</v>
      </c>
    </row>
    <row r="767" spans="1:9" x14ac:dyDescent="0.25">
      <c r="A767" s="4" t="str">
        <f>"3955"</f>
        <v>3955</v>
      </c>
      <c r="B767" s="4" t="s">
        <v>3690</v>
      </c>
      <c r="C767" t="s">
        <v>3691</v>
      </c>
      <c r="D767" t="s">
        <v>3692</v>
      </c>
      <c r="E767" t="str">
        <f>"262 41"</f>
        <v>262 41</v>
      </c>
      <c r="F767" t="s">
        <v>3693</v>
      </c>
      <c r="G767" t="s">
        <v>201</v>
      </c>
      <c r="H767" t="s">
        <v>120</v>
      </c>
      <c r="I767" t="s">
        <v>125</v>
      </c>
    </row>
    <row r="768" spans="1:9" x14ac:dyDescent="0.25">
      <c r="A768" s="4" t="str">
        <f>"4909"</f>
        <v>4909</v>
      </c>
      <c r="B768" s="4" t="s">
        <v>3694</v>
      </c>
      <c r="C768" t="s">
        <v>3695</v>
      </c>
      <c r="D768" t="s">
        <v>3696</v>
      </c>
      <c r="E768" t="str">
        <f>"262 13"</f>
        <v>262 13</v>
      </c>
      <c r="F768" t="s">
        <v>3697</v>
      </c>
      <c r="G768" t="s">
        <v>201</v>
      </c>
      <c r="H768" t="s">
        <v>120</v>
      </c>
      <c r="I768" t="s">
        <v>125</v>
      </c>
    </row>
    <row r="769" spans="1:9" x14ac:dyDescent="0.25">
      <c r="A769" s="4" t="str">
        <f>"4937"</f>
        <v>4937</v>
      </c>
      <c r="B769" s="4" t="s">
        <v>3698</v>
      </c>
      <c r="C769" t="s">
        <v>3699</v>
      </c>
      <c r="D769" t="s">
        <v>3700</v>
      </c>
      <c r="E769" t="str">
        <f>"262 72"</f>
        <v>262 72</v>
      </c>
      <c r="F769" t="s">
        <v>3701</v>
      </c>
      <c r="G769" t="s">
        <v>201</v>
      </c>
      <c r="H769" t="s">
        <v>120</v>
      </c>
      <c r="I769" t="s">
        <v>125</v>
      </c>
    </row>
    <row r="770" spans="1:9" x14ac:dyDescent="0.25">
      <c r="A770" s="4" t="str">
        <f>"5043"</f>
        <v>5043</v>
      </c>
      <c r="B770" s="4" t="s">
        <v>3702</v>
      </c>
      <c r="C770" t="s">
        <v>3703</v>
      </c>
      <c r="D770" t="s">
        <v>3704</v>
      </c>
      <c r="E770" t="str">
        <f>"264 01"</f>
        <v>264 01</v>
      </c>
      <c r="F770" t="s">
        <v>3704</v>
      </c>
      <c r="G770" t="s">
        <v>201</v>
      </c>
      <c r="H770" t="s">
        <v>120</v>
      </c>
      <c r="I770" t="s">
        <v>125</v>
      </c>
    </row>
    <row r="771" spans="1:9" x14ac:dyDescent="0.25">
      <c r="A771" s="4" t="str">
        <f>"5044"</f>
        <v>5044</v>
      </c>
      <c r="B771" s="4" t="s">
        <v>3705</v>
      </c>
      <c r="C771" t="s">
        <v>3706</v>
      </c>
      <c r="D771" t="s">
        <v>3707</v>
      </c>
      <c r="E771" t="str">
        <f>"262 13"</f>
        <v>262 13</v>
      </c>
      <c r="F771" t="s">
        <v>3708</v>
      </c>
      <c r="G771" t="s">
        <v>201</v>
      </c>
      <c r="H771" t="s">
        <v>120</v>
      </c>
      <c r="I771" t="s">
        <v>125</v>
      </c>
    </row>
    <row r="772" spans="1:9" x14ac:dyDescent="0.25">
      <c r="A772" s="4" t="str">
        <f>"5052"</f>
        <v>5052</v>
      </c>
      <c r="B772" s="4" t="s">
        <v>3709</v>
      </c>
      <c r="C772" t="s">
        <v>3710</v>
      </c>
      <c r="D772" t="s">
        <v>3711</v>
      </c>
      <c r="E772" t="str">
        <f>"263 01"</f>
        <v>263 01</v>
      </c>
      <c r="F772" t="s">
        <v>3712</v>
      </c>
      <c r="G772" t="s">
        <v>201</v>
      </c>
      <c r="H772" t="s">
        <v>120</v>
      </c>
      <c r="I772" t="s">
        <v>125</v>
      </c>
    </row>
    <row r="773" spans="1:9" x14ac:dyDescent="0.25">
      <c r="A773" s="4" t="str">
        <f>"5110"</f>
        <v>5110</v>
      </c>
      <c r="B773" s="4" t="s">
        <v>3713</v>
      </c>
      <c r="C773" t="s">
        <v>3714</v>
      </c>
      <c r="D773" t="s">
        <v>3715</v>
      </c>
      <c r="E773" t="str">
        <f>"262 63"</f>
        <v>262 63</v>
      </c>
      <c r="F773" t="s">
        <v>3716</v>
      </c>
      <c r="G773" t="s">
        <v>201</v>
      </c>
      <c r="H773" t="s">
        <v>120</v>
      </c>
      <c r="I773" t="s">
        <v>125</v>
      </c>
    </row>
    <row r="774" spans="1:9" x14ac:dyDescent="0.25">
      <c r="A774" s="4" t="str">
        <f>"5123"</f>
        <v>5123</v>
      </c>
      <c r="B774" s="4" t="s">
        <v>3717</v>
      </c>
      <c r="C774" t="s">
        <v>3718</v>
      </c>
      <c r="D774" t="s">
        <v>3719</v>
      </c>
      <c r="E774" t="str">
        <f>"262 21"</f>
        <v>262 21</v>
      </c>
      <c r="F774" t="s">
        <v>3720</v>
      </c>
      <c r="G774" t="s">
        <v>201</v>
      </c>
      <c r="H774" t="s">
        <v>120</v>
      </c>
      <c r="I774" t="s">
        <v>125</v>
      </c>
    </row>
    <row r="775" spans="1:9" x14ac:dyDescent="0.25">
      <c r="A775" s="4" t="str">
        <f>"5145"</f>
        <v>5145</v>
      </c>
      <c r="B775" s="4" t="s">
        <v>3721</v>
      </c>
      <c r="C775" t="s">
        <v>3722</v>
      </c>
      <c r="D775" t="s">
        <v>3723</v>
      </c>
      <c r="E775" t="str">
        <f>"262 11"</f>
        <v>262 11</v>
      </c>
      <c r="F775" t="s">
        <v>3724</v>
      </c>
      <c r="G775" t="s">
        <v>201</v>
      </c>
      <c r="H775" t="s">
        <v>120</v>
      </c>
      <c r="I775" t="s">
        <v>125</v>
      </c>
    </row>
    <row r="776" spans="1:9" x14ac:dyDescent="0.25">
      <c r="A776" s="4" t="str">
        <f>"5154"</f>
        <v>5154</v>
      </c>
      <c r="B776" s="4" t="s">
        <v>3725</v>
      </c>
      <c r="C776" t="s">
        <v>3726</v>
      </c>
      <c r="D776" t="s">
        <v>3727</v>
      </c>
      <c r="E776" t="str">
        <f>"262 91"</f>
        <v>262 91</v>
      </c>
      <c r="F776" t="s">
        <v>3728</v>
      </c>
      <c r="G776" t="s">
        <v>201</v>
      </c>
      <c r="H776" t="s">
        <v>120</v>
      </c>
      <c r="I776" t="s">
        <v>125</v>
      </c>
    </row>
    <row r="777" spans="1:9" x14ac:dyDescent="0.25">
      <c r="A777" s="4" t="str">
        <f>"5191"</f>
        <v>5191</v>
      </c>
      <c r="B777" s="4" t="s">
        <v>3729</v>
      </c>
      <c r="C777" t="s">
        <v>3730</v>
      </c>
      <c r="D777" t="s">
        <v>3731</v>
      </c>
      <c r="E777" t="str">
        <f>"264 01"</f>
        <v>264 01</v>
      </c>
      <c r="F777" t="s">
        <v>3732</v>
      </c>
      <c r="G777" t="s">
        <v>201</v>
      </c>
      <c r="H777" t="s">
        <v>120</v>
      </c>
      <c r="I777" t="s">
        <v>125</v>
      </c>
    </row>
    <row r="778" spans="1:9" x14ac:dyDescent="0.25">
      <c r="A778" s="4" t="str">
        <f>"5233"</f>
        <v>5233</v>
      </c>
      <c r="B778" s="4" t="s">
        <v>3733</v>
      </c>
      <c r="C778" t="s">
        <v>3734</v>
      </c>
      <c r="D778" t="s">
        <v>3735</v>
      </c>
      <c r="E778" t="str">
        <f>"262 24"</f>
        <v>262 24</v>
      </c>
      <c r="F778" t="s">
        <v>3736</v>
      </c>
      <c r="G778" t="s">
        <v>201</v>
      </c>
      <c r="H778" t="s">
        <v>120</v>
      </c>
      <c r="I778" t="s">
        <v>125</v>
      </c>
    </row>
    <row r="779" spans="1:9" x14ac:dyDescent="0.25">
      <c r="A779" s="4" t="str">
        <f>"5273"</f>
        <v>5273</v>
      </c>
      <c r="B779" s="4" t="s">
        <v>3737</v>
      </c>
      <c r="C779" t="s">
        <v>3738</v>
      </c>
      <c r="D779" t="s">
        <v>3739</v>
      </c>
      <c r="E779" t="str">
        <f>"262 53"</f>
        <v>262 53</v>
      </c>
      <c r="F779" t="s">
        <v>3740</v>
      </c>
      <c r="G779" t="s">
        <v>201</v>
      </c>
      <c r="H779" t="s">
        <v>120</v>
      </c>
      <c r="I779" t="s">
        <v>125</v>
      </c>
    </row>
    <row r="780" spans="1:9" x14ac:dyDescent="0.25">
      <c r="A780" s="4" t="str">
        <f>"5291"</f>
        <v>5291</v>
      </c>
      <c r="B780" s="4" t="s">
        <v>3741</v>
      </c>
      <c r="C780" t="s">
        <v>3742</v>
      </c>
      <c r="D780" t="s">
        <v>3743</v>
      </c>
      <c r="E780" t="str">
        <f>"262 93"</f>
        <v>262 93</v>
      </c>
      <c r="F780" t="s">
        <v>3744</v>
      </c>
      <c r="G780" t="s">
        <v>201</v>
      </c>
      <c r="H780" t="s">
        <v>120</v>
      </c>
      <c r="I780" t="s">
        <v>125</v>
      </c>
    </row>
    <row r="781" spans="1:9" x14ac:dyDescent="0.25">
      <c r="A781" s="4" t="str">
        <f>"5295"</f>
        <v>5295</v>
      </c>
      <c r="B781" s="4" t="s">
        <v>3745</v>
      </c>
      <c r="C781" t="s">
        <v>3746</v>
      </c>
      <c r="D781" t="s">
        <v>3747</v>
      </c>
      <c r="E781" t="str">
        <f>"263 01"</f>
        <v>263 01</v>
      </c>
      <c r="F781" t="s">
        <v>3747</v>
      </c>
      <c r="G781" t="s">
        <v>201</v>
      </c>
      <c r="H781" t="s">
        <v>120</v>
      </c>
      <c r="I781" t="s">
        <v>125</v>
      </c>
    </row>
    <row r="782" spans="1:9" x14ac:dyDescent="0.25">
      <c r="A782" s="4" t="str">
        <f>"5367"</f>
        <v>5367</v>
      </c>
      <c r="B782" s="4" t="s">
        <v>3748</v>
      </c>
      <c r="C782" t="s">
        <v>3749</v>
      </c>
      <c r="D782" t="s">
        <v>3750</v>
      </c>
      <c r="E782" t="str">
        <f>"262 52"</f>
        <v>262 52</v>
      </c>
      <c r="F782" t="s">
        <v>3751</v>
      </c>
      <c r="G782" t="s">
        <v>201</v>
      </c>
      <c r="H782" t="s">
        <v>120</v>
      </c>
      <c r="I782" t="s">
        <v>125</v>
      </c>
    </row>
    <row r="783" spans="1:9" x14ac:dyDescent="0.25">
      <c r="A783" s="4" t="str">
        <f>"5368"</f>
        <v>5368</v>
      </c>
      <c r="B783" s="4" t="s">
        <v>3752</v>
      </c>
      <c r="C783" t="s">
        <v>3753</v>
      </c>
      <c r="D783" t="s">
        <v>3754</v>
      </c>
      <c r="E783" t="str">
        <f>"262 52"</f>
        <v>262 52</v>
      </c>
      <c r="F783" t="s">
        <v>3755</v>
      </c>
      <c r="G783" t="s">
        <v>201</v>
      </c>
      <c r="H783" t="s">
        <v>120</v>
      </c>
      <c r="I783" t="s">
        <v>125</v>
      </c>
    </row>
    <row r="784" spans="1:9" x14ac:dyDescent="0.25">
      <c r="A784" s="4" t="str">
        <f>"5395"</f>
        <v>5395</v>
      </c>
      <c r="B784" s="4" t="s">
        <v>3756</v>
      </c>
      <c r="C784" t="s">
        <v>3757</v>
      </c>
      <c r="D784" t="s">
        <v>3758</v>
      </c>
      <c r="E784" t="str">
        <f>"262 56"</f>
        <v>262 56</v>
      </c>
      <c r="F784" t="s">
        <v>3759</v>
      </c>
      <c r="G784" t="s">
        <v>201</v>
      </c>
      <c r="H784" t="s">
        <v>120</v>
      </c>
      <c r="I784" t="s">
        <v>125</v>
      </c>
    </row>
    <row r="785" spans="1:9" x14ac:dyDescent="0.25">
      <c r="A785" s="4" t="str">
        <f>"5432"</f>
        <v>5432</v>
      </c>
      <c r="B785" s="4" t="s">
        <v>3760</v>
      </c>
      <c r="C785" t="s">
        <v>3761</v>
      </c>
      <c r="D785" t="s">
        <v>3762</v>
      </c>
      <c r="E785" t="str">
        <f>"262 56"</f>
        <v>262 56</v>
      </c>
      <c r="F785" t="s">
        <v>3763</v>
      </c>
      <c r="G785" t="s">
        <v>201</v>
      </c>
      <c r="H785" t="s">
        <v>120</v>
      </c>
      <c r="I785" t="s">
        <v>125</v>
      </c>
    </row>
    <row r="786" spans="1:9" x14ac:dyDescent="0.25">
      <c r="A786" s="4" t="str">
        <f>"5450"</f>
        <v>5450</v>
      </c>
      <c r="B786" s="4" t="s">
        <v>3764</v>
      </c>
      <c r="C786" t="s">
        <v>3765</v>
      </c>
      <c r="D786" t="s">
        <v>3766</v>
      </c>
      <c r="E786" t="str">
        <f>"262 36"</f>
        <v>262 36</v>
      </c>
      <c r="F786" t="s">
        <v>3767</v>
      </c>
      <c r="G786" t="s">
        <v>201</v>
      </c>
      <c r="H786" t="s">
        <v>120</v>
      </c>
      <c r="I786" t="s">
        <v>125</v>
      </c>
    </row>
    <row r="787" spans="1:9" x14ac:dyDescent="0.25">
      <c r="A787" s="4" t="str">
        <f>"5458"</f>
        <v>5458</v>
      </c>
      <c r="B787" s="4" t="s">
        <v>3768</v>
      </c>
      <c r="C787" t="s">
        <v>3769</v>
      </c>
      <c r="D787" t="s">
        <v>3770</v>
      </c>
      <c r="E787" t="str">
        <f>"262 51"</f>
        <v>262 51</v>
      </c>
      <c r="F787" t="s">
        <v>3771</v>
      </c>
      <c r="G787" t="s">
        <v>201</v>
      </c>
      <c r="H787" t="s">
        <v>120</v>
      </c>
      <c r="I787" t="s">
        <v>125</v>
      </c>
    </row>
    <row r="788" spans="1:9" x14ac:dyDescent="0.25">
      <c r="A788" s="4" t="str">
        <f>"5574"</f>
        <v>5574</v>
      </c>
      <c r="B788" s="4" t="s">
        <v>3772</v>
      </c>
      <c r="C788" t="s">
        <v>3773</v>
      </c>
      <c r="D788" t="s">
        <v>3774</v>
      </c>
      <c r="E788" t="str">
        <f>"264 01"</f>
        <v>264 01</v>
      </c>
      <c r="F788" t="s">
        <v>3775</v>
      </c>
      <c r="G788" t="s">
        <v>201</v>
      </c>
      <c r="H788" t="s">
        <v>120</v>
      </c>
      <c r="I788" t="s">
        <v>125</v>
      </c>
    </row>
    <row r="789" spans="1:9" x14ac:dyDescent="0.25">
      <c r="A789" s="4" t="str">
        <f>"5581"</f>
        <v>5581</v>
      </c>
      <c r="B789" s="4" t="s">
        <v>3776</v>
      </c>
      <c r="C789" t="s">
        <v>3777</v>
      </c>
      <c r="D789" t="s">
        <v>3778</v>
      </c>
      <c r="E789" t="str">
        <f>"262 63"</f>
        <v>262 63</v>
      </c>
      <c r="F789" t="s">
        <v>3779</v>
      </c>
      <c r="G789" t="s">
        <v>201</v>
      </c>
      <c r="H789" t="s">
        <v>120</v>
      </c>
      <c r="I789" t="s">
        <v>125</v>
      </c>
    </row>
    <row r="790" spans="1:9" x14ac:dyDescent="0.25">
      <c r="A790" s="4" t="str">
        <f>"5583"</f>
        <v>5583</v>
      </c>
      <c r="B790" s="4" t="s">
        <v>3780</v>
      </c>
      <c r="C790" t="s">
        <v>3781</v>
      </c>
      <c r="D790" t="s">
        <v>3782</v>
      </c>
      <c r="E790" t="str">
        <f>"264 01"</f>
        <v>264 01</v>
      </c>
      <c r="F790" t="s">
        <v>3783</v>
      </c>
      <c r="G790" t="s">
        <v>201</v>
      </c>
      <c r="H790" t="s">
        <v>120</v>
      </c>
      <c r="I790" t="s">
        <v>125</v>
      </c>
    </row>
    <row r="791" spans="1:9" x14ac:dyDescent="0.25">
      <c r="A791" s="4" t="str">
        <f>"5622"</f>
        <v>5622</v>
      </c>
      <c r="B791" s="4" t="s">
        <v>3784</v>
      </c>
      <c r="C791" t="s">
        <v>3785</v>
      </c>
      <c r="D791" t="s">
        <v>3786</v>
      </c>
      <c r="E791" t="str">
        <f>"263 01"</f>
        <v>263 01</v>
      </c>
      <c r="F791" t="s">
        <v>3786</v>
      </c>
      <c r="G791" t="s">
        <v>201</v>
      </c>
      <c r="H791" t="s">
        <v>120</v>
      </c>
      <c r="I791" t="s">
        <v>125</v>
      </c>
    </row>
    <row r="792" spans="1:9" x14ac:dyDescent="0.25">
      <c r="A792" s="4" t="str">
        <f>"5623"</f>
        <v>5623</v>
      </c>
      <c r="B792" s="4" t="s">
        <v>3787</v>
      </c>
      <c r="C792" t="s">
        <v>3788</v>
      </c>
      <c r="D792" t="s">
        <v>3789</v>
      </c>
      <c r="E792" t="str">
        <f>"262 25"</f>
        <v>262 25</v>
      </c>
      <c r="F792" t="s">
        <v>3790</v>
      </c>
      <c r="G792" t="s">
        <v>201</v>
      </c>
      <c r="H792" t="s">
        <v>120</v>
      </c>
      <c r="I792" t="s">
        <v>125</v>
      </c>
    </row>
    <row r="793" spans="1:9" x14ac:dyDescent="0.25">
      <c r="A793" s="4" t="str">
        <f>"5643"</f>
        <v>5643</v>
      </c>
      <c r="B793" s="4" t="s">
        <v>3791</v>
      </c>
      <c r="C793" t="s">
        <v>3792</v>
      </c>
      <c r="D793" t="s">
        <v>3793</v>
      </c>
      <c r="E793" t="str">
        <f>"262 81"</f>
        <v>262 81</v>
      </c>
      <c r="F793" t="s">
        <v>3794</v>
      </c>
      <c r="G793" t="s">
        <v>201</v>
      </c>
      <c r="H793" t="s">
        <v>120</v>
      </c>
      <c r="I793" t="s">
        <v>125</v>
      </c>
    </row>
    <row r="794" spans="1:9" x14ac:dyDescent="0.25">
      <c r="A794" s="4" t="str">
        <f>"5872"</f>
        <v>5872</v>
      </c>
      <c r="B794" s="4" t="s">
        <v>3795</v>
      </c>
      <c r="C794" t="s">
        <v>3796</v>
      </c>
      <c r="D794" t="s">
        <v>3797</v>
      </c>
      <c r="E794" t="str">
        <f>"262 22"</f>
        <v>262 22</v>
      </c>
      <c r="F794" t="s">
        <v>3798</v>
      </c>
      <c r="G794" t="s">
        <v>201</v>
      </c>
      <c r="H794" t="s">
        <v>120</v>
      </c>
      <c r="I794" t="s">
        <v>125</v>
      </c>
    </row>
    <row r="795" spans="1:9" x14ac:dyDescent="0.25">
      <c r="A795" s="4" t="str">
        <f>"5958"</f>
        <v>5958</v>
      </c>
      <c r="B795" s="4" t="s">
        <v>3799</v>
      </c>
      <c r="C795" t="s">
        <v>3800</v>
      </c>
      <c r="D795" t="s">
        <v>3801</v>
      </c>
      <c r="E795" t="str">
        <f>"264 01"</f>
        <v>264 01</v>
      </c>
      <c r="F795" t="s">
        <v>3802</v>
      </c>
      <c r="G795" t="s">
        <v>201</v>
      </c>
      <c r="H795" t="s">
        <v>120</v>
      </c>
      <c r="I795" t="s">
        <v>125</v>
      </c>
    </row>
    <row r="796" spans="1:9" x14ac:dyDescent="0.25">
      <c r="A796" s="4" t="str">
        <f>"5968"</f>
        <v>5968</v>
      </c>
      <c r="B796" s="4" t="s">
        <v>3803</v>
      </c>
      <c r="C796" t="s">
        <v>3804</v>
      </c>
      <c r="D796" t="s">
        <v>3805</v>
      </c>
      <c r="E796" t="str">
        <f>"263 01"</f>
        <v>263 01</v>
      </c>
      <c r="F796" t="s">
        <v>3806</v>
      </c>
      <c r="G796" t="s">
        <v>201</v>
      </c>
      <c r="H796" t="s">
        <v>120</v>
      </c>
      <c r="I796" t="s">
        <v>125</v>
      </c>
    </row>
    <row r="797" spans="1:9" x14ac:dyDescent="0.25">
      <c r="A797" s="4" t="str">
        <f>"6013"</f>
        <v>6013</v>
      </c>
      <c r="B797" s="4" t="s">
        <v>3807</v>
      </c>
      <c r="C797" t="s">
        <v>3808</v>
      </c>
      <c r="D797" t="s">
        <v>3809</v>
      </c>
      <c r="E797" t="str">
        <f>"262 04"</f>
        <v>262 04</v>
      </c>
      <c r="F797" t="s">
        <v>3810</v>
      </c>
      <c r="G797" t="s">
        <v>201</v>
      </c>
      <c r="H797" t="s">
        <v>120</v>
      </c>
      <c r="I797" t="s">
        <v>125</v>
      </c>
    </row>
    <row r="798" spans="1:9" x14ac:dyDescent="0.25">
      <c r="A798" s="4" t="str">
        <f>"6034"</f>
        <v>6034</v>
      </c>
      <c r="B798" s="4" t="s">
        <v>3811</v>
      </c>
      <c r="C798" t="s">
        <v>3812</v>
      </c>
      <c r="D798" t="s">
        <v>3813</v>
      </c>
      <c r="E798" t="str">
        <f>"262 23"</f>
        <v>262 23</v>
      </c>
      <c r="F798" t="s">
        <v>3814</v>
      </c>
      <c r="G798" t="s">
        <v>201</v>
      </c>
      <c r="H798" t="s">
        <v>120</v>
      </c>
      <c r="I798" t="s">
        <v>125</v>
      </c>
    </row>
    <row r="799" spans="1:9" x14ac:dyDescent="0.25">
      <c r="A799" s="4" t="str">
        <f>"6038"</f>
        <v>6038</v>
      </c>
      <c r="B799" s="4" t="s">
        <v>3815</v>
      </c>
      <c r="C799" t="s">
        <v>3816</v>
      </c>
      <c r="D799" t="s">
        <v>3817</v>
      </c>
      <c r="E799" t="str">
        <f>"262 93"</f>
        <v>262 93</v>
      </c>
      <c r="F799" t="s">
        <v>3818</v>
      </c>
      <c r="G799" t="s">
        <v>201</v>
      </c>
      <c r="H799" t="s">
        <v>120</v>
      </c>
      <c r="I799" t="s">
        <v>125</v>
      </c>
    </row>
    <row r="800" spans="1:9" x14ac:dyDescent="0.25">
      <c r="A800" s="4" t="str">
        <f>"6094"</f>
        <v>6094</v>
      </c>
      <c r="B800" s="4" t="s">
        <v>3819</v>
      </c>
      <c r="C800" t="s">
        <v>3820</v>
      </c>
      <c r="D800" t="s">
        <v>3821</v>
      </c>
      <c r="E800" t="str">
        <f>"262 72"</f>
        <v>262 72</v>
      </c>
      <c r="F800" t="s">
        <v>3822</v>
      </c>
      <c r="G800" t="s">
        <v>201</v>
      </c>
      <c r="H800" t="s">
        <v>120</v>
      </c>
      <c r="I800" t="s">
        <v>125</v>
      </c>
    </row>
    <row r="801" spans="1:9" x14ac:dyDescent="0.25">
      <c r="A801" s="4" t="str">
        <f>"6281"</f>
        <v>6281</v>
      </c>
      <c r="B801" s="4" t="s">
        <v>3827</v>
      </c>
      <c r="C801" t="s">
        <v>3828</v>
      </c>
      <c r="D801" t="s">
        <v>3829</v>
      </c>
      <c r="E801" t="str">
        <f>"262 31"</f>
        <v>262 31</v>
      </c>
      <c r="F801" t="s">
        <v>3830</v>
      </c>
      <c r="G801" t="s">
        <v>201</v>
      </c>
      <c r="H801" t="s">
        <v>120</v>
      </c>
      <c r="I801" t="s">
        <v>125</v>
      </c>
    </row>
    <row r="802" spans="1:9" x14ac:dyDescent="0.25">
      <c r="A802" s="4" t="str">
        <f>"6312"</f>
        <v>6312</v>
      </c>
      <c r="B802" s="4" t="s">
        <v>3831</v>
      </c>
      <c r="C802" t="s">
        <v>3832</v>
      </c>
      <c r="D802" t="s">
        <v>3833</v>
      </c>
      <c r="E802" t="str">
        <f>"262 63"</f>
        <v>262 63</v>
      </c>
      <c r="F802" t="s">
        <v>3834</v>
      </c>
      <c r="G802" t="s">
        <v>201</v>
      </c>
      <c r="H802" t="s">
        <v>120</v>
      </c>
      <c r="I802" t="s">
        <v>125</v>
      </c>
    </row>
    <row r="803" spans="1:9" x14ac:dyDescent="0.25">
      <c r="A803" s="4" t="str">
        <f>"6359"</f>
        <v>6359</v>
      </c>
      <c r="B803" s="4" t="s">
        <v>3835</v>
      </c>
      <c r="C803" t="s">
        <v>3836</v>
      </c>
      <c r="D803" t="s">
        <v>3837</v>
      </c>
      <c r="E803" t="str">
        <f>"262 23"</f>
        <v>262 23</v>
      </c>
      <c r="F803" t="s">
        <v>3838</v>
      </c>
      <c r="G803" t="s">
        <v>201</v>
      </c>
      <c r="H803" t="s">
        <v>120</v>
      </c>
      <c r="I803" t="s">
        <v>125</v>
      </c>
    </row>
    <row r="804" spans="1:9" x14ac:dyDescent="0.25">
      <c r="A804" s="4" t="str">
        <f>"6393"</f>
        <v>6393</v>
      </c>
      <c r="B804" s="4" t="s">
        <v>3839</v>
      </c>
      <c r="C804" t="s">
        <v>3840</v>
      </c>
      <c r="D804" t="s">
        <v>3841</v>
      </c>
      <c r="E804" t="str">
        <f>"262 03"</f>
        <v>262 03</v>
      </c>
      <c r="F804" t="s">
        <v>3842</v>
      </c>
      <c r="G804" t="s">
        <v>201</v>
      </c>
      <c r="H804" t="s">
        <v>120</v>
      </c>
      <c r="I804" t="s">
        <v>125</v>
      </c>
    </row>
    <row r="805" spans="1:9" x14ac:dyDescent="0.25">
      <c r="A805" s="4" t="str">
        <f>"6412"</f>
        <v>6412</v>
      </c>
      <c r="B805" s="4" t="s">
        <v>3843</v>
      </c>
      <c r="C805" t="s">
        <v>3844</v>
      </c>
      <c r="D805" t="s">
        <v>3845</v>
      </c>
      <c r="E805" t="str">
        <f>"264 01"</f>
        <v>264 01</v>
      </c>
      <c r="F805" t="s">
        <v>3846</v>
      </c>
      <c r="G805" t="s">
        <v>201</v>
      </c>
      <c r="H805" t="s">
        <v>120</v>
      </c>
      <c r="I805" t="s">
        <v>125</v>
      </c>
    </row>
    <row r="806" spans="1:9" x14ac:dyDescent="0.25">
      <c r="A806" s="4" t="str">
        <f>"6438"</f>
        <v>6438</v>
      </c>
      <c r="B806" s="4" t="s">
        <v>3847</v>
      </c>
      <c r="C806" t="s">
        <v>3848</v>
      </c>
      <c r="D806" t="s">
        <v>3849</v>
      </c>
      <c r="E806" t="str">
        <f>"262 84"</f>
        <v>262 84</v>
      </c>
      <c r="F806" t="s">
        <v>3850</v>
      </c>
      <c r="G806" t="s">
        <v>201</v>
      </c>
      <c r="H806" t="s">
        <v>120</v>
      </c>
      <c r="I806" t="s">
        <v>125</v>
      </c>
    </row>
    <row r="807" spans="1:9" x14ac:dyDescent="0.25">
      <c r="A807" s="4" t="str">
        <f>"6477"</f>
        <v>6477</v>
      </c>
      <c r="B807" s="4" t="s">
        <v>3851</v>
      </c>
      <c r="C807" t="s">
        <v>3852</v>
      </c>
      <c r="D807" t="s">
        <v>3853</v>
      </c>
      <c r="E807" t="str">
        <f>"262 05"</f>
        <v>262 05</v>
      </c>
      <c r="F807" t="s">
        <v>3854</v>
      </c>
      <c r="G807" t="s">
        <v>201</v>
      </c>
      <c r="H807" t="s">
        <v>120</v>
      </c>
      <c r="I807" t="s">
        <v>125</v>
      </c>
    </row>
    <row r="808" spans="1:9" x14ac:dyDescent="0.25">
      <c r="A808" s="4" t="str">
        <f>"6526"</f>
        <v>6526</v>
      </c>
      <c r="B808" s="4" t="s">
        <v>3855</v>
      </c>
      <c r="C808" t="s">
        <v>3856</v>
      </c>
      <c r="D808" t="s">
        <v>3857</v>
      </c>
      <c r="E808" t="str">
        <f>"262 42"</f>
        <v>262 42</v>
      </c>
      <c r="F808" t="s">
        <v>3858</v>
      </c>
      <c r="G808" t="s">
        <v>201</v>
      </c>
      <c r="H808" t="s">
        <v>120</v>
      </c>
      <c r="I808" t="s">
        <v>125</v>
      </c>
    </row>
    <row r="809" spans="1:9" x14ac:dyDescent="0.25">
      <c r="A809" s="4" t="str">
        <f>"6238"</f>
        <v>6238</v>
      </c>
      <c r="B809" s="4" t="s">
        <v>3859</v>
      </c>
      <c r="C809" t="s">
        <v>3860</v>
      </c>
      <c r="D809" t="s">
        <v>3861</v>
      </c>
      <c r="E809" t="str">
        <f>"262 62"</f>
        <v>262 62</v>
      </c>
      <c r="F809" t="s">
        <v>3862</v>
      </c>
      <c r="G809" t="s">
        <v>201</v>
      </c>
      <c r="H809" t="s">
        <v>120</v>
      </c>
      <c r="I809" t="s">
        <v>125</v>
      </c>
    </row>
    <row r="810" spans="1:9" x14ac:dyDescent="0.25">
      <c r="A810" s="4" t="str">
        <f>"6551"</f>
        <v>6551</v>
      </c>
      <c r="B810" s="4" t="s">
        <v>3863</v>
      </c>
      <c r="C810" t="s">
        <v>3864</v>
      </c>
      <c r="D810" t="s">
        <v>3865</v>
      </c>
      <c r="E810" t="str">
        <f>"262 72"</f>
        <v>262 72</v>
      </c>
      <c r="F810" t="s">
        <v>3866</v>
      </c>
      <c r="G810" t="s">
        <v>201</v>
      </c>
      <c r="H810" t="s">
        <v>120</v>
      </c>
      <c r="I810" t="s">
        <v>125</v>
      </c>
    </row>
    <row r="811" spans="1:9" x14ac:dyDescent="0.25">
      <c r="A811" s="4" t="str">
        <f>"5376"</f>
        <v>5376</v>
      </c>
      <c r="B811" s="4" t="s">
        <v>3867</v>
      </c>
      <c r="C811" t="s">
        <v>3868</v>
      </c>
      <c r="D811" t="s">
        <v>3869</v>
      </c>
      <c r="E811" t="str">
        <f>"262 72"</f>
        <v>262 72</v>
      </c>
      <c r="F811" t="s">
        <v>3870</v>
      </c>
      <c r="G811" t="s">
        <v>201</v>
      </c>
      <c r="H811" t="s">
        <v>705</v>
      </c>
      <c r="I811" t="s">
        <v>125</v>
      </c>
    </row>
    <row r="812" spans="1:9" x14ac:dyDescent="0.25">
      <c r="A812" s="4" t="str">
        <f>"5538"</f>
        <v>5538</v>
      </c>
      <c r="B812" s="4" t="s">
        <v>2867</v>
      </c>
      <c r="C812" t="s">
        <v>2868</v>
      </c>
      <c r="D812" t="s">
        <v>2869</v>
      </c>
      <c r="E812" t="str">
        <f>"434 01"</f>
        <v>434 01</v>
      </c>
      <c r="F812" t="s">
        <v>2870</v>
      </c>
      <c r="G812" t="s">
        <v>1311</v>
      </c>
      <c r="H812" t="s">
        <v>120</v>
      </c>
      <c r="I812" t="s">
        <v>125</v>
      </c>
    </row>
    <row r="813" spans="1:9" x14ac:dyDescent="0.25">
      <c r="A813" s="4" t="str">
        <f>"1907"</f>
        <v>1907</v>
      </c>
      <c r="B813" s="4" t="s">
        <v>4284</v>
      </c>
      <c r="C813" t="s">
        <v>4285</v>
      </c>
      <c r="D813" t="s">
        <v>4286</v>
      </c>
      <c r="E813" t="str">
        <f>"417 42"</f>
        <v>417 42</v>
      </c>
      <c r="F813" t="s">
        <v>4287</v>
      </c>
      <c r="G813" t="s">
        <v>1311</v>
      </c>
      <c r="H813" t="s">
        <v>202</v>
      </c>
      <c r="I813" t="s">
        <v>125</v>
      </c>
    </row>
    <row r="814" spans="1:9" x14ac:dyDescent="0.25">
      <c r="A814" s="4" t="str">
        <f>"3437"</f>
        <v>3437</v>
      </c>
      <c r="B814" s="4" t="s">
        <v>4292</v>
      </c>
      <c r="C814" t="s">
        <v>1047</v>
      </c>
      <c r="D814" t="s">
        <v>4293</v>
      </c>
      <c r="E814" t="str">
        <f>"417 54"</f>
        <v>417 54</v>
      </c>
      <c r="F814" t="s">
        <v>4294</v>
      </c>
      <c r="G814" t="s">
        <v>1311</v>
      </c>
      <c r="H814" t="s">
        <v>120</v>
      </c>
      <c r="I814" t="s">
        <v>125</v>
      </c>
    </row>
    <row r="815" spans="1:9" x14ac:dyDescent="0.25">
      <c r="A815" s="4" t="str">
        <f>"4435"</f>
        <v>4435</v>
      </c>
      <c r="B815" s="4" t="s">
        <v>4295</v>
      </c>
      <c r="C815" t="s">
        <v>4296</v>
      </c>
      <c r="D815" t="s">
        <v>4297</v>
      </c>
      <c r="E815" t="str">
        <f>"417 25"</f>
        <v>417 25</v>
      </c>
      <c r="F815" t="s">
        <v>4298</v>
      </c>
      <c r="G815" t="s">
        <v>1311</v>
      </c>
      <c r="H815" t="s">
        <v>120</v>
      </c>
      <c r="I815" t="s">
        <v>125</v>
      </c>
    </row>
    <row r="816" spans="1:9" x14ac:dyDescent="0.25">
      <c r="A816" s="4" t="str">
        <f>"3434"</f>
        <v>3434</v>
      </c>
      <c r="B816" s="4" t="s">
        <v>4299</v>
      </c>
      <c r="C816" t="s">
        <v>4300</v>
      </c>
      <c r="D816" t="s">
        <v>4301</v>
      </c>
      <c r="E816" t="str">
        <f>"417 22"</f>
        <v>417 22</v>
      </c>
      <c r="F816" t="s">
        <v>4302</v>
      </c>
      <c r="G816" t="s">
        <v>1311</v>
      </c>
      <c r="H816" t="s">
        <v>120</v>
      </c>
      <c r="I816" t="s">
        <v>125</v>
      </c>
    </row>
    <row r="817" spans="1:9" x14ac:dyDescent="0.25">
      <c r="A817" s="4" t="str">
        <f>"3431"</f>
        <v>3431</v>
      </c>
      <c r="B817" s="4" t="s">
        <v>4303</v>
      </c>
      <c r="C817" t="s">
        <v>4304</v>
      </c>
      <c r="D817" t="s">
        <v>4305</v>
      </c>
      <c r="E817" t="str">
        <f>"415 01"</f>
        <v>415 01</v>
      </c>
      <c r="F817" t="s">
        <v>4306</v>
      </c>
      <c r="G817" t="s">
        <v>1311</v>
      </c>
      <c r="H817" t="s">
        <v>120</v>
      </c>
      <c r="I817" t="s">
        <v>125</v>
      </c>
    </row>
    <row r="818" spans="1:9" x14ac:dyDescent="0.25">
      <c r="A818" s="4" t="str">
        <f>"5242"</f>
        <v>5242</v>
      </c>
      <c r="B818" s="4" t="s">
        <v>4307</v>
      </c>
      <c r="C818" t="s">
        <v>4308</v>
      </c>
      <c r="D818" t="s">
        <v>4309</v>
      </c>
      <c r="E818" t="str">
        <f>"418 04"</f>
        <v>418 04</v>
      </c>
      <c r="F818" t="s">
        <v>4310</v>
      </c>
      <c r="G818" t="s">
        <v>1311</v>
      </c>
      <c r="H818" t="s">
        <v>120</v>
      </c>
      <c r="I818" t="s">
        <v>125</v>
      </c>
    </row>
    <row r="819" spans="1:9" x14ac:dyDescent="0.25">
      <c r="A819" s="4" t="str">
        <f>"3432"</f>
        <v>3432</v>
      </c>
      <c r="B819" s="4" t="s">
        <v>4311</v>
      </c>
      <c r="C819" t="s">
        <v>4312</v>
      </c>
      <c r="D819" t="s">
        <v>4313</v>
      </c>
      <c r="E819" t="str">
        <f>"417 54"</f>
        <v>417 54</v>
      </c>
      <c r="F819" t="s">
        <v>4314</v>
      </c>
      <c r="G819" t="s">
        <v>1311</v>
      </c>
      <c r="H819" t="s">
        <v>120</v>
      </c>
      <c r="I819" t="s">
        <v>125</v>
      </c>
    </row>
    <row r="820" spans="1:9" x14ac:dyDescent="0.25">
      <c r="A820" s="4" t="str">
        <f>"3727"</f>
        <v>3727</v>
      </c>
      <c r="B820" s="4" t="s">
        <v>4315</v>
      </c>
      <c r="C820" t="s">
        <v>4316</v>
      </c>
      <c r="D820" t="s">
        <v>4317</v>
      </c>
      <c r="E820" t="str">
        <f>"417 04"</f>
        <v>417 04</v>
      </c>
      <c r="F820" t="s">
        <v>4318</v>
      </c>
      <c r="G820" t="s">
        <v>1311</v>
      </c>
      <c r="H820" t="s">
        <v>202</v>
      </c>
      <c r="I820" t="s">
        <v>125</v>
      </c>
    </row>
    <row r="821" spans="1:9" x14ac:dyDescent="0.25">
      <c r="A821" s="4" t="str">
        <f>"5978"</f>
        <v>5978</v>
      </c>
      <c r="B821" s="4" t="s">
        <v>4319</v>
      </c>
      <c r="C821" t="s">
        <v>4320</v>
      </c>
      <c r="D821" t="s">
        <v>4321</v>
      </c>
      <c r="E821" t="str">
        <f>"417 13"</f>
        <v>417 13</v>
      </c>
      <c r="F821" t="s">
        <v>4322</v>
      </c>
      <c r="G821" t="s">
        <v>1311</v>
      </c>
      <c r="H821" t="s">
        <v>120</v>
      </c>
      <c r="I821" t="s">
        <v>125</v>
      </c>
    </row>
    <row r="822" spans="1:9" x14ac:dyDescent="0.25">
      <c r="A822" s="4" t="str">
        <f>"3442"</f>
        <v>3442</v>
      </c>
      <c r="B822" s="4" t="s">
        <v>4323</v>
      </c>
      <c r="C822" t="s">
        <v>4324</v>
      </c>
      <c r="D822" t="s">
        <v>4325</v>
      </c>
      <c r="E822" t="str">
        <f>"417 62"</f>
        <v>417 62</v>
      </c>
      <c r="F822" t="s">
        <v>4326</v>
      </c>
      <c r="G822" t="s">
        <v>1311</v>
      </c>
      <c r="H822" t="s">
        <v>120</v>
      </c>
      <c r="I822" t="s">
        <v>125</v>
      </c>
    </row>
    <row r="823" spans="1:9" x14ac:dyDescent="0.25">
      <c r="A823" s="4" t="str">
        <f>"3443"</f>
        <v>3443</v>
      </c>
      <c r="B823" s="4" t="s">
        <v>4327</v>
      </c>
      <c r="C823" t="s">
        <v>4328</v>
      </c>
      <c r="D823" t="s">
        <v>4329</v>
      </c>
      <c r="E823" t="str">
        <f>"417 53"</f>
        <v>417 53</v>
      </c>
      <c r="F823" t="s">
        <v>4330</v>
      </c>
      <c r="G823" t="s">
        <v>1311</v>
      </c>
      <c r="H823" t="s">
        <v>120</v>
      </c>
      <c r="I823" t="s">
        <v>125</v>
      </c>
    </row>
    <row r="824" spans="1:9" x14ac:dyDescent="0.25">
      <c r="A824" s="4" t="str">
        <f>"3441"</f>
        <v>3441</v>
      </c>
      <c r="B824" s="4" t="s">
        <v>4331</v>
      </c>
      <c r="C824" t="s">
        <v>4332</v>
      </c>
      <c r="D824" t="s">
        <v>4333</v>
      </c>
      <c r="E824" t="str">
        <f>"417 12"</f>
        <v>417 12</v>
      </c>
      <c r="F824" t="s">
        <v>4334</v>
      </c>
      <c r="G824" t="s">
        <v>1311</v>
      </c>
      <c r="H824" t="s">
        <v>120</v>
      </c>
      <c r="I824" t="s">
        <v>125</v>
      </c>
    </row>
    <row r="825" spans="1:9" x14ac:dyDescent="0.25">
      <c r="A825" s="4" t="str">
        <f>"3491"</f>
        <v>3491</v>
      </c>
      <c r="B825" s="4" t="s">
        <v>4335</v>
      </c>
      <c r="C825" t="s">
        <v>4336</v>
      </c>
      <c r="D825" t="s">
        <v>4337</v>
      </c>
      <c r="E825" t="str">
        <f>"415 01"</f>
        <v>415 01</v>
      </c>
      <c r="F825" t="s">
        <v>4338</v>
      </c>
      <c r="G825" t="s">
        <v>1311</v>
      </c>
      <c r="H825" t="s">
        <v>120</v>
      </c>
      <c r="I825" t="s">
        <v>125</v>
      </c>
    </row>
    <row r="826" spans="1:9" x14ac:dyDescent="0.25">
      <c r="A826" s="4" t="str">
        <f>"3492"</f>
        <v>3492</v>
      </c>
      <c r="B826" s="4" t="s">
        <v>4339</v>
      </c>
      <c r="C826" t="s">
        <v>4340</v>
      </c>
      <c r="D826" t="s">
        <v>4341</v>
      </c>
      <c r="E826" t="str">
        <f>"417 72"</f>
        <v>417 72</v>
      </c>
      <c r="F826" t="s">
        <v>4342</v>
      </c>
      <c r="G826" t="s">
        <v>1311</v>
      </c>
      <c r="H826" t="s">
        <v>120</v>
      </c>
      <c r="I826" t="s">
        <v>125</v>
      </c>
    </row>
    <row r="827" spans="1:9" x14ac:dyDescent="0.25">
      <c r="A827" s="4" t="str">
        <f>"1771"</f>
        <v>1771</v>
      </c>
      <c r="B827" s="4" t="s">
        <v>1528</v>
      </c>
      <c r="C827" t="s">
        <v>1529</v>
      </c>
      <c r="D827" t="s">
        <v>1530</v>
      </c>
      <c r="E827" t="str">
        <f>"580 01"</f>
        <v>580 01</v>
      </c>
      <c r="F827" t="s">
        <v>1531</v>
      </c>
      <c r="G827" t="s">
        <v>1509</v>
      </c>
      <c r="H827" t="s">
        <v>120</v>
      </c>
      <c r="I827" t="s">
        <v>125</v>
      </c>
    </row>
    <row r="828" spans="1:9" x14ac:dyDescent="0.25">
      <c r="A828" s="4" t="str">
        <f>"2553"</f>
        <v>2553</v>
      </c>
      <c r="B828" s="4" t="s">
        <v>1811</v>
      </c>
      <c r="C828" t="s">
        <v>1812</v>
      </c>
      <c r="D828" t="s">
        <v>1813</v>
      </c>
      <c r="E828" t="str">
        <f>"588 42"</f>
        <v>588 42</v>
      </c>
      <c r="F828" t="s">
        <v>1814</v>
      </c>
      <c r="G828" t="s">
        <v>1509</v>
      </c>
      <c r="H828" t="s">
        <v>120</v>
      </c>
      <c r="I828" t="s">
        <v>125</v>
      </c>
    </row>
    <row r="829" spans="1:9" x14ac:dyDescent="0.25">
      <c r="A829" s="4" t="str">
        <f>"4513"</f>
        <v>4513</v>
      </c>
      <c r="B829" s="4" t="s">
        <v>1815</v>
      </c>
      <c r="C829" t="s">
        <v>1816</v>
      </c>
      <c r="D829" t="s">
        <v>1817</v>
      </c>
      <c r="E829" t="str">
        <f>"588 27"</f>
        <v>588 27</v>
      </c>
      <c r="F829" t="s">
        <v>1818</v>
      </c>
      <c r="G829" t="s">
        <v>1509</v>
      </c>
      <c r="H829" t="s">
        <v>120</v>
      </c>
      <c r="I829" t="s">
        <v>125</v>
      </c>
    </row>
    <row r="830" spans="1:9" x14ac:dyDescent="0.25">
      <c r="A830" s="4" t="str">
        <f>"2582"</f>
        <v>2582</v>
      </c>
      <c r="B830" s="4" t="s">
        <v>1819</v>
      </c>
      <c r="C830" t="s">
        <v>1820</v>
      </c>
      <c r="D830" t="s">
        <v>1821</v>
      </c>
      <c r="E830" t="str">
        <f>"588 64"</f>
        <v>588 64</v>
      </c>
      <c r="F830" t="s">
        <v>1822</v>
      </c>
      <c r="G830" t="s">
        <v>1509</v>
      </c>
      <c r="H830" t="s">
        <v>120</v>
      </c>
      <c r="I830" t="s">
        <v>125</v>
      </c>
    </row>
    <row r="831" spans="1:9" x14ac:dyDescent="0.25">
      <c r="A831" s="4" t="str">
        <f>"2562"</f>
        <v>2562</v>
      </c>
      <c r="B831" s="4" t="s">
        <v>1823</v>
      </c>
      <c r="C831" t="s">
        <v>1824</v>
      </c>
      <c r="D831" t="s">
        <v>1825</v>
      </c>
      <c r="E831" t="str">
        <f>"589 01"</f>
        <v>589 01</v>
      </c>
      <c r="F831" t="s">
        <v>1826</v>
      </c>
      <c r="G831" t="s">
        <v>1509</v>
      </c>
      <c r="H831" t="s">
        <v>120</v>
      </c>
      <c r="I831" t="s">
        <v>125</v>
      </c>
    </row>
    <row r="832" spans="1:9" x14ac:dyDescent="0.25">
      <c r="A832" s="4" t="str">
        <f>"2591"</f>
        <v>2591</v>
      </c>
      <c r="B832" s="4" t="s">
        <v>1827</v>
      </c>
      <c r="C832" t="s">
        <v>1828</v>
      </c>
      <c r="D832" t="s">
        <v>1829</v>
      </c>
      <c r="E832" t="str">
        <f>"588 26"</f>
        <v>588 26</v>
      </c>
      <c r="F832" t="s">
        <v>1830</v>
      </c>
      <c r="G832" t="s">
        <v>1509</v>
      </c>
      <c r="H832" t="s">
        <v>120</v>
      </c>
      <c r="I832" t="s">
        <v>125</v>
      </c>
    </row>
    <row r="833" spans="1:10" x14ac:dyDescent="0.25">
      <c r="A833" s="4" t="str">
        <f>"27"</f>
        <v>27</v>
      </c>
      <c r="B833" s="4" t="s">
        <v>4357</v>
      </c>
      <c r="C833" t="s">
        <v>308</v>
      </c>
      <c r="D833" t="s">
        <v>4358</v>
      </c>
      <c r="E833" t="str">
        <f>"675 23"</f>
        <v>675 23</v>
      </c>
      <c r="F833" t="s">
        <v>310</v>
      </c>
      <c r="G833" t="s">
        <v>1509</v>
      </c>
      <c r="H833" t="s">
        <v>120</v>
      </c>
      <c r="I833" t="s">
        <v>125</v>
      </c>
    </row>
    <row r="834" spans="1:10" x14ac:dyDescent="0.25">
      <c r="A834" s="4" t="str">
        <f>"6253"</f>
        <v>6253</v>
      </c>
      <c r="B834" s="4" t="s">
        <v>4359</v>
      </c>
      <c r="C834" t="s">
        <v>4360</v>
      </c>
      <c r="D834" t="s">
        <v>4361</v>
      </c>
      <c r="E834" t="str">
        <f>"675 52"</f>
        <v>675 52</v>
      </c>
      <c r="F834" t="s">
        <v>4362</v>
      </c>
      <c r="G834" t="s">
        <v>1509</v>
      </c>
      <c r="H834" t="s">
        <v>120</v>
      </c>
      <c r="I834" t="s">
        <v>125</v>
      </c>
    </row>
    <row r="835" spans="1:10" x14ac:dyDescent="0.25">
      <c r="A835" s="4" t="str">
        <f>"3244"</f>
        <v>3244</v>
      </c>
      <c r="B835" s="4" t="s">
        <v>5256</v>
      </c>
      <c r="C835" t="s">
        <v>225</v>
      </c>
      <c r="D835" t="s">
        <v>5257</v>
      </c>
      <c r="E835" t="str">
        <f>"592 02"</f>
        <v>592 02</v>
      </c>
      <c r="F835" t="s">
        <v>5258</v>
      </c>
      <c r="G835" t="s">
        <v>1509</v>
      </c>
      <c r="H835" t="s">
        <v>202</v>
      </c>
      <c r="I835" t="s">
        <v>125</v>
      </c>
    </row>
    <row r="836" spans="1:10" x14ac:dyDescent="0.25">
      <c r="A836" s="4" t="str">
        <f>"4878"</f>
        <v>4878</v>
      </c>
      <c r="B836" s="4" t="s">
        <v>5259</v>
      </c>
      <c r="C836" t="s">
        <v>5260</v>
      </c>
      <c r="D836" t="s">
        <v>5261</v>
      </c>
      <c r="E836" t="str">
        <f>"592 41"</f>
        <v>592 41</v>
      </c>
      <c r="F836" t="s">
        <v>5262</v>
      </c>
      <c r="G836" t="s">
        <v>1509</v>
      </c>
      <c r="H836" t="s">
        <v>120</v>
      </c>
      <c r="I836" t="s">
        <v>125</v>
      </c>
    </row>
    <row r="837" spans="1:10" x14ac:dyDescent="0.25">
      <c r="A837" s="4" t="str">
        <f>"2262"</f>
        <v>2262</v>
      </c>
      <c r="B837" s="4" t="s">
        <v>5263</v>
      </c>
      <c r="C837" t="s">
        <v>5264</v>
      </c>
      <c r="D837" t="s">
        <v>5265</v>
      </c>
      <c r="E837" t="str">
        <f>"594 44"</f>
        <v>594 44</v>
      </c>
      <c r="F837" t="s">
        <v>5266</v>
      </c>
      <c r="G837" t="s">
        <v>1509</v>
      </c>
      <c r="H837" t="s">
        <v>120</v>
      </c>
      <c r="I837" t="s">
        <v>125</v>
      </c>
    </row>
    <row r="838" spans="1:10" x14ac:dyDescent="0.25">
      <c r="A838" s="4" t="str">
        <f>"5089"</f>
        <v>5089</v>
      </c>
      <c r="B838" s="4" t="s">
        <v>4386</v>
      </c>
      <c r="C838" t="s">
        <v>4387</v>
      </c>
      <c r="D838" t="s">
        <v>4388</v>
      </c>
      <c r="E838" t="str">
        <f>"686 01"</f>
        <v>686 01</v>
      </c>
      <c r="F838" t="s">
        <v>4385</v>
      </c>
      <c r="G838" t="s">
        <v>2129</v>
      </c>
      <c r="H838" t="s">
        <v>120</v>
      </c>
      <c r="I838" t="s">
        <v>125</v>
      </c>
    </row>
    <row r="839" spans="1:10" x14ac:dyDescent="0.25">
      <c r="A839" s="4" t="str">
        <f>"1035"</f>
        <v>1035</v>
      </c>
      <c r="B839" s="4" t="s">
        <v>4394</v>
      </c>
      <c r="C839" t="s">
        <v>4395</v>
      </c>
      <c r="D839" t="s">
        <v>4396</v>
      </c>
      <c r="E839" t="str">
        <f>"687 71"</f>
        <v>687 71</v>
      </c>
      <c r="F839" t="s">
        <v>4397</v>
      </c>
      <c r="G839" t="s">
        <v>2129</v>
      </c>
      <c r="H839" t="s">
        <v>202</v>
      </c>
      <c r="I839" t="s">
        <v>125</v>
      </c>
      <c r="J839" t="s">
        <v>4398</v>
      </c>
    </row>
    <row r="840" spans="1:10" x14ac:dyDescent="0.25">
      <c r="A840" s="4" t="str">
        <f>"1070"</f>
        <v>1070</v>
      </c>
      <c r="B840" s="4" t="s">
        <v>4408</v>
      </c>
      <c r="C840" t="s">
        <v>4409</v>
      </c>
      <c r="D840" t="s">
        <v>4410</v>
      </c>
      <c r="E840" t="str">
        <f>"687 22"</f>
        <v>687 22</v>
      </c>
      <c r="F840" t="s">
        <v>4411</v>
      </c>
      <c r="G840" t="s">
        <v>2129</v>
      </c>
      <c r="H840" t="s">
        <v>120</v>
      </c>
      <c r="I840" t="s">
        <v>125</v>
      </c>
    </row>
    <row r="841" spans="1:10" x14ac:dyDescent="0.25">
      <c r="A841" s="4" t="str">
        <f>"1038"</f>
        <v>1038</v>
      </c>
      <c r="B841" s="4" t="s">
        <v>4417</v>
      </c>
      <c r="C841" t="s">
        <v>4418</v>
      </c>
      <c r="D841" t="s">
        <v>4419</v>
      </c>
      <c r="E841" t="str">
        <f>"687 08"</f>
        <v>687 08</v>
      </c>
      <c r="F841" t="s">
        <v>4420</v>
      </c>
      <c r="G841" t="s">
        <v>2129</v>
      </c>
      <c r="H841" t="s">
        <v>120</v>
      </c>
      <c r="I841" t="s">
        <v>125</v>
      </c>
    </row>
    <row r="842" spans="1:10" x14ac:dyDescent="0.25">
      <c r="A842" s="4" t="str">
        <f>"1042"</f>
        <v>1042</v>
      </c>
      <c r="B842" s="4" t="s">
        <v>4421</v>
      </c>
      <c r="C842" t="s">
        <v>4422</v>
      </c>
      <c r="D842" t="s">
        <v>4423</v>
      </c>
      <c r="E842" t="str">
        <f>"687 55"</f>
        <v>687 55</v>
      </c>
      <c r="F842" t="s">
        <v>4424</v>
      </c>
      <c r="G842" t="s">
        <v>2129</v>
      </c>
      <c r="H842" t="s">
        <v>120</v>
      </c>
      <c r="I842" t="s">
        <v>125</v>
      </c>
    </row>
    <row r="843" spans="1:10" x14ac:dyDescent="0.25">
      <c r="A843" s="4" t="str">
        <f>"1080"</f>
        <v>1080</v>
      </c>
      <c r="B843" s="4" t="s">
        <v>4429</v>
      </c>
      <c r="C843" t="s">
        <v>4430</v>
      </c>
      <c r="D843" t="s">
        <v>4431</v>
      </c>
      <c r="E843" t="str">
        <f>"687 06"</f>
        <v>687 06</v>
      </c>
      <c r="F843" t="s">
        <v>4432</v>
      </c>
      <c r="G843" t="s">
        <v>2129</v>
      </c>
      <c r="H843" t="s">
        <v>120</v>
      </c>
      <c r="I843" t="s">
        <v>125</v>
      </c>
    </row>
    <row r="844" spans="1:10" x14ac:dyDescent="0.25">
      <c r="A844" s="4" t="str">
        <f>"1091"</f>
        <v>1091</v>
      </c>
      <c r="B844" s="4" t="s">
        <v>4437</v>
      </c>
      <c r="C844" t="s">
        <v>4438</v>
      </c>
      <c r="D844" t="s">
        <v>4439</v>
      </c>
      <c r="E844" t="str">
        <f>"687 31"</f>
        <v>687 31</v>
      </c>
      <c r="F844" t="s">
        <v>4440</v>
      </c>
      <c r="G844" t="s">
        <v>2129</v>
      </c>
      <c r="H844" t="s">
        <v>120</v>
      </c>
      <c r="I844" t="s">
        <v>125</v>
      </c>
    </row>
    <row r="845" spans="1:10" x14ac:dyDescent="0.25">
      <c r="A845" s="4" t="str">
        <f>"1092"</f>
        <v>1092</v>
      </c>
      <c r="B845" s="4" t="s">
        <v>4441</v>
      </c>
      <c r="C845" t="s">
        <v>4442</v>
      </c>
      <c r="D845" t="s">
        <v>4443</v>
      </c>
      <c r="E845" t="str">
        <f>"687 11"</f>
        <v>687 11</v>
      </c>
      <c r="F845" t="s">
        <v>4444</v>
      </c>
      <c r="G845" t="s">
        <v>2129</v>
      </c>
      <c r="H845" t="s">
        <v>120</v>
      </c>
      <c r="I845" t="s">
        <v>125</v>
      </c>
    </row>
    <row r="846" spans="1:10" x14ac:dyDescent="0.25">
      <c r="A846" s="4" t="str">
        <f>"1102"</f>
        <v>1102</v>
      </c>
      <c r="B846" s="4" t="s">
        <v>4445</v>
      </c>
      <c r="C846" t="s">
        <v>4446</v>
      </c>
      <c r="D846" t="s">
        <v>4447</v>
      </c>
      <c r="E846" t="str">
        <f>"687 33"</f>
        <v>687 33</v>
      </c>
      <c r="F846" t="s">
        <v>4448</v>
      </c>
      <c r="G846" t="s">
        <v>2129</v>
      </c>
      <c r="H846" t="s">
        <v>120</v>
      </c>
      <c r="I846" t="s">
        <v>125</v>
      </c>
    </row>
    <row r="847" spans="1:10" x14ac:dyDescent="0.25">
      <c r="A847" s="4" t="str">
        <f>"1107"</f>
        <v>1107</v>
      </c>
      <c r="B847" s="4" t="s">
        <v>4449</v>
      </c>
      <c r="C847" t="s">
        <v>4450</v>
      </c>
      <c r="D847" t="s">
        <v>4451</v>
      </c>
      <c r="E847" t="str">
        <f>"687 10"</f>
        <v>687 10</v>
      </c>
      <c r="F847" t="s">
        <v>4452</v>
      </c>
      <c r="G847" t="s">
        <v>2129</v>
      </c>
      <c r="H847" t="s">
        <v>120</v>
      </c>
      <c r="I847" t="s">
        <v>125</v>
      </c>
    </row>
    <row r="848" spans="1:10" x14ac:dyDescent="0.25">
      <c r="A848" s="4" t="str">
        <f>"373"</f>
        <v>373</v>
      </c>
      <c r="B848" s="4" t="s">
        <v>4511</v>
      </c>
      <c r="C848" t="s">
        <v>4512</v>
      </c>
      <c r="D848" t="s">
        <v>4513</v>
      </c>
      <c r="E848" t="str">
        <f>"756 43"</f>
        <v>756 43</v>
      </c>
      <c r="F848" t="s">
        <v>4513</v>
      </c>
      <c r="G848" t="s">
        <v>2129</v>
      </c>
      <c r="H848" t="s">
        <v>202</v>
      </c>
      <c r="I848" t="s">
        <v>125</v>
      </c>
    </row>
    <row r="849" spans="1:9" x14ac:dyDescent="0.25">
      <c r="A849" s="4" t="str">
        <f>"112"</f>
        <v>112</v>
      </c>
      <c r="B849" s="4" t="s">
        <v>4518</v>
      </c>
      <c r="C849" t="s">
        <v>4519</v>
      </c>
      <c r="D849" t="s">
        <v>4520</v>
      </c>
      <c r="E849" t="str">
        <f>"756 06"</f>
        <v>756 06</v>
      </c>
      <c r="F849" t="s">
        <v>4521</v>
      </c>
      <c r="G849" t="s">
        <v>2129</v>
      </c>
      <c r="H849" t="s">
        <v>120</v>
      </c>
      <c r="I849" t="s">
        <v>125</v>
      </c>
    </row>
    <row r="850" spans="1:9" x14ac:dyDescent="0.25">
      <c r="A850" s="4" t="str">
        <f>"1283"</f>
        <v>1283</v>
      </c>
      <c r="B850" s="4" t="s">
        <v>4522</v>
      </c>
      <c r="C850" t="s">
        <v>4523</v>
      </c>
      <c r="D850" t="s">
        <v>4524</v>
      </c>
      <c r="E850" t="str">
        <f>"756 01"</f>
        <v>756 01</v>
      </c>
      <c r="F850" t="s">
        <v>4525</v>
      </c>
      <c r="G850" t="s">
        <v>2129</v>
      </c>
      <c r="H850" t="s">
        <v>120</v>
      </c>
      <c r="I850" t="s">
        <v>125</v>
      </c>
    </row>
    <row r="851" spans="1:9" x14ac:dyDescent="0.25">
      <c r="A851" s="4" t="str">
        <f>"349"</f>
        <v>349</v>
      </c>
      <c r="B851" s="4" t="s">
        <v>4531</v>
      </c>
      <c r="C851" t="s">
        <v>4532</v>
      </c>
      <c r="D851" t="s">
        <v>4533</v>
      </c>
      <c r="E851" t="str">
        <f>"756 12"</f>
        <v>756 12</v>
      </c>
      <c r="F851" t="s">
        <v>4533</v>
      </c>
      <c r="G851" t="s">
        <v>2129</v>
      </c>
      <c r="H851" t="s">
        <v>120</v>
      </c>
      <c r="I851" t="s">
        <v>125</v>
      </c>
    </row>
    <row r="852" spans="1:9" x14ac:dyDescent="0.25">
      <c r="A852" s="4" t="str">
        <f>"715"</f>
        <v>715</v>
      </c>
      <c r="B852" s="4" t="s">
        <v>4534</v>
      </c>
      <c r="C852" t="s">
        <v>4535</v>
      </c>
      <c r="D852" t="s">
        <v>4536</v>
      </c>
      <c r="E852" t="str">
        <f>"756 23"</f>
        <v>756 23</v>
      </c>
      <c r="F852" t="s">
        <v>4537</v>
      </c>
      <c r="G852" t="s">
        <v>2129</v>
      </c>
      <c r="H852" t="s">
        <v>120</v>
      </c>
      <c r="I852" t="s">
        <v>125</v>
      </c>
    </row>
    <row r="853" spans="1:9" x14ac:dyDescent="0.25">
      <c r="A853" s="4" t="str">
        <f>"2929"</f>
        <v>2929</v>
      </c>
      <c r="B853" s="4" t="s">
        <v>4538</v>
      </c>
      <c r="C853" t="s">
        <v>4539</v>
      </c>
      <c r="D853" t="s">
        <v>4540</v>
      </c>
      <c r="E853" t="str">
        <f>"756 05"</f>
        <v>756 05</v>
      </c>
      <c r="F853" t="s">
        <v>4541</v>
      </c>
      <c r="G853" t="s">
        <v>2129</v>
      </c>
      <c r="H853" t="s">
        <v>120</v>
      </c>
      <c r="I853" t="s">
        <v>125</v>
      </c>
    </row>
    <row r="854" spans="1:9" x14ac:dyDescent="0.25">
      <c r="A854" s="4" t="str">
        <f>"782"</f>
        <v>782</v>
      </c>
      <c r="B854" s="4" t="s">
        <v>4542</v>
      </c>
      <c r="C854" t="s">
        <v>4543</v>
      </c>
      <c r="D854" t="s">
        <v>4544</v>
      </c>
      <c r="E854" t="str">
        <f>"756 04"</f>
        <v>756 04</v>
      </c>
      <c r="F854" t="s">
        <v>4545</v>
      </c>
      <c r="G854" t="s">
        <v>2129</v>
      </c>
      <c r="H854" t="s">
        <v>120</v>
      </c>
      <c r="I854" t="s">
        <v>125</v>
      </c>
    </row>
    <row r="855" spans="1:9" x14ac:dyDescent="0.25">
      <c r="A855" s="4" t="str">
        <f>"422"</f>
        <v>422</v>
      </c>
      <c r="B855" s="4" t="s">
        <v>4546</v>
      </c>
      <c r="C855" t="s">
        <v>4547</v>
      </c>
      <c r="D855" t="s">
        <v>4548</v>
      </c>
      <c r="E855" t="str">
        <f>"756 11"</f>
        <v>756 11</v>
      </c>
      <c r="F855" t="s">
        <v>4549</v>
      </c>
      <c r="G855" t="s">
        <v>2129</v>
      </c>
      <c r="H855" t="s">
        <v>120</v>
      </c>
      <c r="I855" t="s">
        <v>125</v>
      </c>
    </row>
    <row r="856" spans="1:9" x14ac:dyDescent="0.25">
      <c r="A856" s="4" t="str">
        <f>"257"</f>
        <v>257</v>
      </c>
      <c r="B856" s="4" t="s">
        <v>4558</v>
      </c>
      <c r="C856" t="s">
        <v>4559</v>
      </c>
      <c r="D856" t="s">
        <v>4560</v>
      </c>
      <c r="E856" t="str">
        <f>"756 56"</f>
        <v>756 56</v>
      </c>
      <c r="F856" t="s">
        <v>4561</v>
      </c>
      <c r="G856" t="s">
        <v>2129</v>
      </c>
      <c r="H856" t="s">
        <v>120</v>
      </c>
      <c r="I856" t="s">
        <v>125</v>
      </c>
    </row>
    <row r="857" spans="1:9" x14ac:dyDescent="0.25">
      <c r="A857" s="4" t="str">
        <f>"535"</f>
        <v>535</v>
      </c>
      <c r="B857" s="4" t="s">
        <v>4566</v>
      </c>
      <c r="C857" t="s">
        <v>4567</v>
      </c>
      <c r="D857" t="s">
        <v>4568</v>
      </c>
      <c r="E857" t="str">
        <f>"756 07"</f>
        <v>756 07</v>
      </c>
      <c r="F857" t="s">
        <v>4569</v>
      </c>
      <c r="G857" t="s">
        <v>2129</v>
      </c>
      <c r="H857" t="s">
        <v>120</v>
      </c>
      <c r="I857" t="s">
        <v>125</v>
      </c>
    </row>
    <row r="858" spans="1:9" x14ac:dyDescent="0.25">
      <c r="A858" s="4" t="str">
        <f>"932"</f>
        <v>932</v>
      </c>
      <c r="B858" s="4" t="s">
        <v>4578</v>
      </c>
      <c r="C858" t="s">
        <v>4579</v>
      </c>
      <c r="D858" t="s">
        <v>4580</v>
      </c>
      <c r="E858" t="str">
        <f>"756 21"</f>
        <v>756 21</v>
      </c>
      <c r="F858" t="s">
        <v>4581</v>
      </c>
      <c r="G858" t="s">
        <v>2129</v>
      </c>
      <c r="H858" t="s">
        <v>120</v>
      </c>
      <c r="I858" t="s">
        <v>125</v>
      </c>
    </row>
    <row r="859" spans="1:9" x14ac:dyDescent="0.25">
      <c r="A859" s="4" t="str">
        <f>"1416"</f>
        <v>1416</v>
      </c>
      <c r="B859" s="4" t="s">
        <v>4586</v>
      </c>
      <c r="C859" t="s">
        <v>4587</v>
      </c>
      <c r="D859" t="s">
        <v>4588</v>
      </c>
      <c r="E859" t="str">
        <f>"756 21"</f>
        <v>756 21</v>
      </c>
      <c r="F859" t="s">
        <v>4589</v>
      </c>
      <c r="G859" t="s">
        <v>2129</v>
      </c>
      <c r="H859" t="s">
        <v>120</v>
      </c>
      <c r="I859" t="s">
        <v>125</v>
      </c>
    </row>
    <row r="860" spans="1:9" x14ac:dyDescent="0.25">
      <c r="A860" s="4" t="str">
        <f>"3563"</f>
        <v>3563</v>
      </c>
      <c r="B860" s="4" t="s">
        <v>4594</v>
      </c>
      <c r="C860" t="s">
        <v>4595</v>
      </c>
      <c r="D860" t="s">
        <v>4596</v>
      </c>
      <c r="E860" t="str">
        <f>"756 11"</f>
        <v>756 11</v>
      </c>
      <c r="F860" t="s">
        <v>4597</v>
      </c>
      <c r="G860" t="s">
        <v>2129</v>
      </c>
      <c r="H860" t="s">
        <v>120</v>
      </c>
      <c r="I860" t="s">
        <v>125</v>
      </c>
    </row>
    <row r="861" spans="1:9" x14ac:dyDescent="0.25">
      <c r="A861" s="4" t="str">
        <f>"3853"</f>
        <v>3853</v>
      </c>
      <c r="B861" s="4" t="s">
        <v>4598</v>
      </c>
      <c r="C861" t="s">
        <v>4599</v>
      </c>
      <c r="D861" t="s">
        <v>4600</v>
      </c>
      <c r="E861" t="str">
        <f>"756 51"</f>
        <v>756 51</v>
      </c>
      <c r="F861" t="s">
        <v>4601</v>
      </c>
      <c r="G861" t="s">
        <v>2129</v>
      </c>
      <c r="H861" t="s">
        <v>120</v>
      </c>
      <c r="I861" t="s">
        <v>125</v>
      </c>
    </row>
    <row r="862" spans="1:9" x14ac:dyDescent="0.25">
      <c r="A862" s="4" t="str">
        <f>"4115"</f>
        <v>4115</v>
      </c>
      <c r="B862" s="4" t="s">
        <v>4602</v>
      </c>
      <c r="C862" t="s">
        <v>4603</v>
      </c>
      <c r="D862" t="s">
        <v>4604</v>
      </c>
      <c r="E862" t="str">
        <f>"756 31"</f>
        <v>756 31</v>
      </c>
      <c r="F862" t="s">
        <v>4605</v>
      </c>
      <c r="G862" t="s">
        <v>2129</v>
      </c>
      <c r="H862" t="s">
        <v>120</v>
      </c>
      <c r="I862" t="s">
        <v>125</v>
      </c>
    </row>
    <row r="863" spans="1:9" x14ac:dyDescent="0.25">
      <c r="A863" s="4" t="str">
        <f>"549"</f>
        <v>549</v>
      </c>
      <c r="B863" s="4" t="s">
        <v>4904</v>
      </c>
      <c r="C863" t="s">
        <v>4905</v>
      </c>
      <c r="D863" t="s">
        <v>4906</v>
      </c>
      <c r="E863" t="str">
        <f>"760 01"</f>
        <v>760 01</v>
      </c>
      <c r="F863" t="s">
        <v>4907</v>
      </c>
      <c r="G863" t="s">
        <v>2129</v>
      </c>
      <c r="H863" t="s">
        <v>120</v>
      </c>
      <c r="I863" t="s">
        <v>125</v>
      </c>
    </row>
    <row r="864" spans="1:9" x14ac:dyDescent="0.25">
      <c r="A864" s="4" t="str">
        <f>"806"</f>
        <v>806</v>
      </c>
      <c r="B864" s="4" t="s">
        <v>4908</v>
      </c>
      <c r="C864" t="s">
        <v>2801</v>
      </c>
      <c r="D864" t="s">
        <v>4909</v>
      </c>
      <c r="E864" t="str">
        <f>"763 02"</f>
        <v>763 02</v>
      </c>
      <c r="F864" t="s">
        <v>4903</v>
      </c>
      <c r="G864" t="s">
        <v>2129</v>
      </c>
      <c r="H864" t="s">
        <v>120</v>
      </c>
      <c r="I864" t="s">
        <v>125</v>
      </c>
    </row>
    <row r="865" spans="1:9" x14ac:dyDescent="0.25">
      <c r="A865" s="4" t="str">
        <f>"944"</f>
        <v>944</v>
      </c>
      <c r="B865" s="4" t="s">
        <v>4910</v>
      </c>
      <c r="C865" t="s">
        <v>4911</v>
      </c>
      <c r="D865" t="s">
        <v>4912</v>
      </c>
      <c r="E865" t="str">
        <f>"763 02"</f>
        <v>763 02</v>
      </c>
      <c r="F865" t="s">
        <v>4913</v>
      </c>
      <c r="G865" t="s">
        <v>2129</v>
      </c>
      <c r="H865" t="s">
        <v>120</v>
      </c>
      <c r="I865" t="s">
        <v>125</v>
      </c>
    </row>
    <row r="866" spans="1:9" x14ac:dyDescent="0.25">
      <c r="A866" s="4" t="str">
        <f>"1220"</f>
        <v>1220</v>
      </c>
      <c r="B866" s="4" t="s">
        <v>4914</v>
      </c>
      <c r="C866" t="s">
        <v>4915</v>
      </c>
      <c r="D866" t="s">
        <v>4916</v>
      </c>
      <c r="E866" t="str">
        <f>"760 01"</f>
        <v>760 01</v>
      </c>
      <c r="F866" t="s">
        <v>4917</v>
      </c>
      <c r="G866" t="s">
        <v>2129</v>
      </c>
      <c r="H866" t="s">
        <v>120</v>
      </c>
      <c r="I866" t="s">
        <v>125</v>
      </c>
    </row>
    <row r="867" spans="1:9" x14ac:dyDescent="0.25">
      <c r="A867" s="4" t="str">
        <f>"1199"</f>
        <v>1199</v>
      </c>
      <c r="B867" s="4" t="s">
        <v>4950</v>
      </c>
      <c r="C867" t="s">
        <v>4951</v>
      </c>
      <c r="D867" t="s">
        <v>4952</v>
      </c>
      <c r="E867" t="str">
        <f>"763 15"</f>
        <v>763 15</v>
      </c>
      <c r="F867" t="s">
        <v>4953</v>
      </c>
      <c r="G867" t="s">
        <v>2129</v>
      </c>
      <c r="H867" t="s">
        <v>120</v>
      </c>
      <c r="I867" t="s">
        <v>125</v>
      </c>
    </row>
    <row r="868" spans="1:9" x14ac:dyDescent="0.25">
      <c r="A868" s="4" t="str">
        <f>"1823"</f>
        <v>1823</v>
      </c>
      <c r="B868" s="4" t="s">
        <v>4954</v>
      </c>
      <c r="C868" t="s">
        <v>4955</v>
      </c>
      <c r="D868" t="s">
        <v>4956</v>
      </c>
      <c r="E868" t="str">
        <f>"763 24"</f>
        <v>763 24</v>
      </c>
      <c r="F868" t="s">
        <v>4957</v>
      </c>
      <c r="G868" t="s">
        <v>2129</v>
      </c>
      <c r="H868" t="s">
        <v>120</v>
      </c>
      <c r="I868" t="s">
        <v>125</v>
      </c>
    </row>
    <row r="869" spans="1:9" x14ac:dyDescent="0.25">
      <c r="A869" s="4" t="str">
        <f>"1255"</f>
        <v>1255</v>
      </c>
      <c r="B869" s="4" t="s">
        <v>4958</v>
      </c>
      <c r="C869" t="s">
        <v>4959</v>
      </c>
      <c r="D869" t="s">
        <v>4960</v>
      </c>
      <c r="E869" t="str">
        <f>"763 12"</f>
        <v>763 12</v>
      </c>
      <c r="F869" t="s">
        <v>4961</v>
      </c>
      <c r="G869" t="s">
        <v>2129</v>
      </c>
      <c r="H869" t="s">
        <v>120</v>
      </c>
      <c r="I869" t="s">
        <v>125</v>
      </c>
    </row>
    <row r="870" spans="1:9" x14ac:dyDescent="0.25">
      <c r="A870" s="4" t="str">
        <f>"1004"</f>
        <v>1004</v>
      </c>
      <c r="B870" s="4" t="s">
        <v>4962</v>
      </c>
      <c r="C870" t="s">
        <v>4963</v>
      </c>
      <c r="D870" t="s">
        <v>4964</v>
      </c>
      <c r="E870" t="str">
        <f>"763 21"</f>
        <v>763 21</v>
      </c>
      <c r="F870" t="s">
        <v>4965</v>
      </c>
      <c r="G870" t="s">
        <v>2129</v>
      </c>
      <c r="H870" t="s">
        <v>120</v>
      </c>
      <c r="I870" t="s">
        <v>125</v>
      </c>
    </row>
    <row r="871" spans="1:9" x14ac:dyDescent="0.25">
      <c r="A871" s="4" t="str">
        <f>"2318"</f>
        <v>2318</v>
      </c>
      <c r="B871" s="4" t="s">
        <v>4966</v>
      </c>
      <c r="C871" t="s">
        <v>4967</v>
      </c>
      <c r="D871" t="s">
        <v>4968</v>
      </c>
      <c r="E871" t="str">
        <f>"763 26"</f>
        <v>763 26</v>
      </c>
      <c r="F871" t="s">
        <v>4969</v>
      </c>
      <c r="G871" t="s">
        <v>2129</v>
      </c>
      <c r="H871" t="s">
        <v>120</v>
      </c>
      <c r="I871" t="s">
        <v>125</v>
      </c>
    </row>
    <row r="872" spans="1:9" x14ac:dyDescent="0.25">
      <c r="A872" s="4" t="str">
        <f>"78"</f>
        <v>78</v>
      </c>
      <c r="B872" s="4" t="s">
        <v>4970</v>
      </c>
      <c r="C872" t="s">
        <v>573</v>
      </c>
      <c r="D872" t="s">
        <v>4971</v>
      </c>
      <c r="E872" t="str">
        <f>"763 25"</f>
        <v>763 25</v>
      </c>
      <c r="F872" t="s">
        <v>575</v>
      </c>
      <c r="G872" t="s">
        <v>2129</v>
      </c>
      <c r="H872" t="s">
        <v>120</v>
      </c>
      <c r="I872" t="s">
        <v>125</v>
      </c>
    </row>
    <row r="873" spans="1:9" x14ac:dyDescent="0.25">
      <c r="A873" s="4" t="str">
        <f>"714"</f>
        <v>714</v>
      </c>
      <c r="B873" s="4" t="s">
        <v>4972</v>
      </c>
      <c r="C873" t="s">
        <v>4973</v>
      </c>
      <c r="D873" t="s">
        <v>4974</v>
      </c>
      <c r="E873" t="str">
        <f>"763 32"</f>
        <v>763 32</v>
      </c>
      <c r="F873" t="s">
        <v>4975</v>
      </c>
      <c r="G873" t="s">
        <v>2129</v>
      </c>
      <c r="H873" t="s">
        <v>120</v>
      </c>
      <c r="I873" t="s">
        <v>125</v>
      </c>
    </row>
    <row r="874" spans="1:9" x14ac:dyDescent="0.25">
      <c r="A874" s="4" t="str">
        <f>"2857"</f>
        <v>2857</v>
      </c>
      <c r="B874" s="4" t="s">
        <v>4976</v>
      </c>
      <c r="C874" t="s">
        <v>4977</v>
      </c>
      <c r="D874" t="s">
        <v>4978</v>
      </c>
      <c r="E874" t="str">
        <f>"763 25"</f>
        <v>763 25</v>
      </c>
      <c r="F874" t="s">
        <v>4979</v>
      </c>
      <c r="G874" t="s">
        <v>2129</v>
      </c>
      <c r="H874" t="s">
        <v>120</v>
      </c>
      <c r="I874" t="s">
        <v>125</v>
      </c>
    </row>
    <row r="875" spans="1:9" x14ac:dyDescent="0.25">
      <c r="A875" s="4" t="str">
        <f>"3176"</f>
        <v>3176</v>
      </c>
      <c r="B875" s="4" t="s">
        <v>4984</v>
      </c>
      <c r="C875" t="s">
        <v>4985</v>
      </c>
      <c r="D875" t="s">
        <v>4986</v>
      </c>
      <c r="E875" t="str">
        <f>"763 02"</f>
        <v>763 02</v>
      </c>
      <c r="F875" t="s">
        <v>4987</v>
      </c>
      <c r="G875" t="s">
        <v>2129</v>
      </c>
      <c r="H875" t="s">
        <v>120</v>
      </c>
      <c r="I875" t="s">
        <v>125</v>
      </c>
    </row>
    <row r="876" spans="1:9" x14ac:dyDescent="0.25">
      <c r="A876" s="4" t="str">
        <f>"995"</f>
        <v>995</v>
      </c>
      <c r="B876" s="4" t="s">
        <v>4988</v>
      </c>
      <c r="C876" t="s">
        <v>4989</v>
      </c>
      <c r="D876" t="s">
        <v>4990</v>
      </c>
      <c r="E876" t="str">
        <f>"763 61"</f>
        <v>763 61</v>
      </c>
      <c r="F876" t="s">
        <v>4991</v>
      </c>
      <c r="G876" t="s">
        <v>2129</v>
      </c>
      <c r="H876" t="s">
        <v>120</v>
      </c>
      <c r="I876" t="s">
        <v>125</v>
      </c>
    </row>
    <row r="877" spans="1:9" x14ac:dyDescent="0.25">
      <c r="A877" s="4" t="str">
        <f>"202"</f>
        <v>202</v>
      </c>
      <c r="B877" s="4" t="s">
        <v>4996</v>
      </c>
      <c r="C877" t="s">
        <v>4997</v>
      </c>
      <c r="D877" t="s">
        <v>4998</v>
      </c>
      <c r="E877" t="str">
        <f>"763 61"</f>
        <v>763 61</v>
      </c>
      <c r="F877" t="s">
        <v>4999</v>
      </c>
      <c r="G877" t="s">
        <v>2129</v>
      </c>
      <c r="H877" t="s">
        <v>120</v>
      </c>
      <c r="I877" t="s">
        <v>125</v>
      </c>
    </row>
    <row r="878" spans="1:9" x14ac:dyDescent="0.25">
      <c r="A878" s="4" t="str">
        <f>"217"</f>
        <v>217</v>
      </c>
      <c r="B878" s="4" t="s">
        <v>5000</v>
      </c>
      <c r="C878" t="s">
        <v>5001</v>
      </c>
      <c r="D878" t="s">
        <v>5002</v>
      </c>
      <c r="E878" t="str">
        <f>"763 51"</f>
        <v>763 51</v>
      </c>
      <c r="F878" t="s">
        <v>5003</v>
      </c>
      <c r="G878" t="s">
        <v>2129</v>
      </c>
      <c r="H878" t="s">
        <v>120</v>
      </c>
      <c r="I878" t="s">
        <v>125</v>
      </c>
    </row>
    <row r="879" spans="1:9" x14ac:dyDescent="0.25">
      <c r="A879" s="4" t="str">
        <f>"240"</f>
        <v>240</v>
      </c>
      <c r="B879" s="4" t="s">
        <v>5004</v>
      </c>
      <c r="C879" t="s">
        <v>5005</v>
      </c>
      <c r="D879" t="s">
        <v>5006</v>
      </c>
      <c r="E879" t="str">
        <f>"763 07"</f>
        <v>763 07</v>
      </c>
      <c r="F879" t="s">
        <v>5007</v>
      </c>
      <c r="G879" t="s">
        <v>2129</v>
      </c>
      <c r="H879" t="s">
        <v>120</v>
      </c>
      <c r="I879" t="s">
        <v>125</v>
      </c>
    </row>
    <row r="880" spans="1:9" x14ac:dyDescent="0.25">
      <c r="A880" s="4" t="str">
        <f>"253"</f>
        <v>253</v>
      </c>
      <c r="B880" s="4" t="s">
        <v>5008</v>
      </c>
      <c r="C880" t="s">
        <v>561</v>
      </c>
      <c r="D880" t="s">
        <v>5009</v>
      </c>
      <c r="E880" t="str">
        <f>"763 15"</f>
        <v>763 15</v>
      </c>
      <c r="F880" t="s">
        <v>563</v>
      </c>
      <c r="G880" t="s">
        <v>2129</v>
      </c>
      <c r="H880" t="s">
        <v>120</v>
      </c>
      <c r="I880" t="s">
        <v>125</v>
      </c>
    </row>
    <row r="881" spans="1:9" x14ac:dyDescent="0.25">
      <c r="A881" s="4" t="str">
        <f>"290"</f>
        <v>290</v>
      </c>
      <c r="B881" s="4" t="s">
        <v>5010</v>
      </c>
      <c r="C881" t="s">
        <v>5011</v>
      </c>
      <c r="D881" t="s">
        <v>5012</v>
      </c>
      <c r="E881" t="str">
        <f>"763 01"</f>
        <v>763 01</v>
      </c>
      <c r="F881" t="s">
        <v>5013</v>
      </c>
      <c r="G881" t="s">
        <v>2129</v>
      </c>
      <c r="H881" t="s">
        <v>120</v>
      </c>
      <c r="I881" t="s">
        <v>125</v>
      </c>
    </row>
    <row r="882" spans="1:9" x14ac:dyDescent="0.25">
      <c r="A882" s="4" t="str">
        <f>"0343"</f>
        <v>0343</v>
      </c>
      <c r="B882" s="4" t="s">
        <v>5014</v>
      </c>
      <c r="C882" t="s">
        <v>5015</v>
      </c>
      <c r="D882" t="s">
        <v>5016</v>
      </c>
      <c r="E882" t="str">
        <f>"763 19"</f>
        <v>763 19</v>
      </c>
      <c r="F882" t="s">
        <v>5017</v>
      </c>
      <c r="G882" t="s">
        <v>2129</v>
      </c>
      <c r="H882" t="s">
        <v>120</v>
      </c>
      <c r="I882" t="s">
        <v>125</v>
      </c>
    </row>
    <row r="883" spans="1:9" x14ac:dyDescent="0.25">
      <c r="A883" s="4" t="str">
        <f>"381"</f>
        <v>381</v>
      </c>
      <c r="B883" s="4" t="s">
        <v>5018</v>
      </c>
      <c r="C883" t="s">
        <v>5019</v>
      </c>
      <c r="D883" t="s">
        <v>5020</v>
      </c>
      <c r="E883" t="str">
        <f>"763 41"</f>
        <v>763 41</v>
      </c>
      <c r="F883" t="s">
        <v>5021</v>
      </c>
      <c r="G883" t="s">
        <v>2129</v>
      </c>
      <c r="H883" t="s">
        <v>120</v>
      </c>
      <c r="I883" t="s">
        <v>125</v>
      </c>
    </row>
    <row r="884" spans="1:9" x14ac:dyDescent="0.25">
      <c r="A884" s="4" t="str">
        <f>"403"</f>
        <v>403</v>
      </c>
      <c r="B884" s="4" t="s">
        <v>5022</v>
      </c>
      <c r="C884" t="s">
        <v>5023</v>
      </c>
      <c r="D884" t="s">
        <v>5024</v>
      </c>
      <c r="E884" t="str">
        <f>"763 23"</f>
        <v>763 23</v>
      </c>
      <c r="F884" t="s">
        <v>5025</v>
      </c>
      <c r="G884" t="s">
        <v>2129</v>
      </c>
      <c r="H884" t="s">
        <v>120</v>
      </c>
      <c r="I884" t="s">
        <v>125</v>
      </c>
    </row>
    <row r="885" spans="1:9" x14ac:dyDescent="0.25">
      <c r="A885" s="4" t="str">
        <f>"511"</f>
        <v>511</v>
      </c>
      <c r="B885" s="4" t="s">
        <v>5026</v>
      </c>
      <c r="C885" t="s">
        <v>5027</v>
      </c>
      <c r="D885" t="s">
        <v>5028</v>
      </c>
      <c r="E885" t="str">
        <f>"763 10"</f>
        <v>763 10</v>
      </c>
      <c r="F885" t="s">
        <v>5029</v>
      </c>
      <c r="G885" t="s">
        <v>2129</v>
      </c>
      <c r="H885" t="s">
        <v>120</v>
      </c>
      <c r="I885" t="s">
        <v>125</v>
      </c>
    </row>
    <row r="886" spans="1:9" x14ac:dyDescent="0.25">
      <c r="A886" s="4" t="str">
        <f>"556"</f>
        <v>556</v>
      </c>
      <c r="B886" s="4" t="s">
        <v>5030</v>
      </c>
      <c r="C886" t="s">
        <v>5031</v>
      </c>
      <c r="D886" t="s">
        <v>5032</v>
      </c>
      <c r="E886" t="str">
        <f>"763 15"</f>
        <v>763 15</v>
      </c>
      <c r="F886" t="s">
        <v>5033</v>
      </c>
      <c r="G886" t="s">
        <v>2129</v>
      </c>
      <c r="H886" t="s">
        <v>120</v>
      </c>
      <c r="I886" t="s">
        <v>125</v>
      </c>
    </row>
    <row r="887" spans="1:9" x14ac:dyDescent="0.25">
      <c r="A887" s="4" t="str">
        <f>"583"</f>
        <v>583</v>
      </c>
      <c r="B887" s="4" t="s">
        <v>5034</v>
      </c>
      <c r="C887" t="s">
        <v>5035</v>
      </c>
      <c r="D887" t="s">
        <v>5036</v>
      </c>
      <c r="E887" t="str">
        <f>"763 12"</f>
        <v>763 12</v>
      </c>
      <c r="F887" t="s">
        <v>5037</v>
      </c>
      <c r="G887" t="s">
        <v>2129</v>
      </c>
      <c r="H887" t="s">
        <v>120</v>
      </c>
      <c r="I887" t="s">
        <v>125</v>
      </c>
    </row>
    <row r="888" spans="1:9" x14ac:dyDescent="0.25">
      <c r="A888" s="4" t="str">
        <f>"640"</f>
        <v>640</v>
      </c>
      <c r="B888" s="4" t="s">
        <v>5038</v>
      </c>
      <c r="C888" t="s">
        <v>5039</v>
      </c>
      <c r="D888" t="s">
        <v>5040</v>
      </c>
      <c r="E888" t="str">
        <f>"763 23"</f>
        <v>763 23</v>
      </c>
      <c r="F888" t="s">
        <v>5041</v>
      </c>
      <c r="G888" t="s">
        <v>2129</v>
      </c>
      <c r="H888" t="s">
        <v>120</v>
      </c>
      <c r="I888" t="s">
        <v>125</v>
      </c>
    </row>
    <row r="889" spans="1:9" x14ac:dyDescent="0.25">
      <c r="A889" s="4" t="str">
        <f>"659"</f>
        <v>659</v>
      </c>
      <c r="B889" s="4" t="s">
        <v>5042</v>
      </c>
      <c r="C889" t="s">
        <v>4660</v>
      </c>
      <c r="D889" t="s">
        <v>5043</v>
      </c>
      <c r="E889" t="str">
        <f>"763 25"</f>
        <v>763 25</v>
      </c>
      <c r="F889" t="s">
        <v>701</v>
      </c>
      <c r="G889" t="s">
        <v>2129</v>
      </c>
      <c r="H889" t="s">
        <v>120</v>
      </c>
      <c r="I889" t="s">
        <v>125</v>
      </c>
    </row>
    <row r="890" spans="1:9" x14ac:dyDescent="0.25">
      <c r="A890" s="4" t="str">
        <f>"695"</f>
        <v>695</v>
      </c>
      <c r="B890" s="4" t="s">
        <v>5044</v>
      </c>
      <c r="C890" t="s">
        <v>5045</v>
      </c>
      <c r="D890" t="s">
        <v>5046</v>
      </c>
      <c r="E890" t="str">
        <f>"763 32"</f>
        <v>763 32</v>
      </c>
      <c r="F890" t="s">
        <v>5047</v>
      </c>
      <c r="G890" t="s">
        <v>2129</v>
      </c>
      <c r="H890" t="s">
        <v>120</v>
      </c>
      <c r="I890" t="s">
        <v>125</v>
      </c>
    </row>
    <row r="891" spans="1:9" x14ac:dyDescent="0.25">
      <c r="A891" s="4" t="str">
        <f>"719"</f>
        <v>719</v>
      </c>
      <c r="B891" s="4" t="s">
        <v>5048</v>
      </c>
      <c r="C891" t="s">
        <v>5049</v>
      </c>
      <c r="D891" t="s">
        <v>5050</v>
      </c>
      <c r="E891" t="str">
        <f>"763 01"</f>
        <v>763 01</v>
      </c>
      <c r="F891" t="s">
        <v>5013</v>
      </c>
      <c r="G891" t="s">
        <v>2129</v>
      </c>
      <c r="H891" t="s">
        <v>120</v>
      </c>
      <c r="I891" t="s">
        <v>125</v>
      </c>
    </row>
    <row r="892" spans="1:9" x14ac:dyDescent="0.25">
      <c r="A892" s="4" t="str">
        <f>"720"</f>
        <v>720</v>
      </c>
      <c r="B892" s="4" t="s">
        <v>5051</v>
      </c>
      <c r="C892" t="s">
        <v>5052</v>
      </c>
      <c r="D892" t="s">
        <v>5053</v>
      </c>
      <c r="E892" t="str">
        <f>"763 23"</f>
        <v>763 23</v>
      </c>
      <c r="F892" t="s">
        <v>5054</v>
      </c>
      <c r="G892" t="s">
        <v>2129</v>
      </c>
      <c r="H892" t="s">
        <v>120</v>
      </c>
      <c r="I892" t="s">
        <v>125</v>
      </c>
    </row>
    <row r="893" spans="1:9" x14ac:dyDescent="0.25">
      <c r="A893" s="4" t="str">
        <f>"728"</f>
        <v>728</v>
      </c>
      <c r="B893" s="4" t="s">
        <v>5055</v>
      </c>
      <c r="C893" t="s">
        <v>5056</v>
      </c>
      <c r="D893" t="s">
        <v>5057</v>
      </c>
      <c r="E893" t="str">
        <f>"763 12"</f>
        <v>763 12</v>
      </c>
      <c r="F893" t="s">
        <v>5058</v>
      </c>
      <c r="G893" t="s">
        <v>2129</v>
      </c>
      <c r="H893" t="s">
        <v>120</v>
      </c>
      <c r="I893" t="s">
        <v>125</v>
      </c>
    </row>
    <row r="894" spans="1:9" x14ac:dyDescent="0.25">
      <c r="A894" s="4" t="str">
        <f>"745"</f>
        <v>745</v>
      </c>
      <c r="B894" s="4" t="s">
        <v>5059</v>
      </c>
      <c r="C894" t="s">
        <v>5060</v>
      </c>
      <c r="D894" t="s">
        <v>5061</v>
      </c>
      <c r="E894" t="str">
        <f>"763 41"</f>
        <v>763 41</v>
      </c>
      <c r="F894" t="s">
        <v>5062</v>
      </c>
      <c r="G894" t="s">
        <v>2129</v>
      </c>
      <c r="H894" t="s">
        <v>120</v>
      </c>
      <c r="I894" t="s">
        <v>125</v>
      </c>
    </row>
    <row r="895" spans="1:9" x14ac:dyDescent="0.25">
      <c r="A895" s="4" t="str">
        <f>"751"</f>
        <v>751</v>
      </c>
      <c r="B895" s="4" t="s">
        <v>5063</v>
      </c>
      <c r="C895" t="s">
        <v>5064</v>
      </c>
      <c r="D895" t="s">
        <v>5065</v>
      </c>
      <c r="E895" t="str">
        <f>"763 01"</f>
        <v>763 01</v>
      </c>
      <c r="F895" t="s">
        <v>5066</v>
      </c>
      <c r="G895" t="s">
        <v>2129</v>
      </c>
      <c r="H895" t="s">
        <v>120</v>
      </c>
      <c r="I895" t="s">
        <v>125</v>
      </c>
    </row>
    <row r="896" spans="1:9" x14ac:dyDescent="0.25">
      <c r="A896" s="4" t="str">
        <f>"773"</f>
        <v>773</v>
      </c>
      <c r="B896" s="4" t="s">
        <v>5067</v>
      </c>
      <c r="C896" t="s">
        <v>5068</v>
      </c>
      <c r="D896" t="s">
        <v>5069</v>
      </c>
      <c r="E896" t="str">
        <f>"763 23"</f>
        <v>763 23</v>
      </c>
      <c r="F896" t="s">
        <v>5070</v>
      </c>
      <c r="G896" t="s">
        <v>2129</v>
      </c>
      <c r="H896" t="s">
        <v>120</v>
      </c>
      <c r="I896" t="s">
        <v>125</v>
      </c>
    </row>
    <row r="897" spans="1:9" x14ac:dyDescent="0.25">
      <c r="A897" s="4" t="str">
        <f>"777"</f>
        <v>777</v>
      </c>
      <c r="B897" s="4" t="s">
        <v>5071</v>
      </c>
      <c r="C897" t="s">
        <v>5072</v>
      </c>
      <c r="D897" t="s">
        <v>5073</v>
      </c>
      <c r="E897" t="str">
        <f>"763 07"</f>
        <v>763 07</v>
      </c>
      <c r="F897" t="s">
        <v>5074</v>
      </c>
      <c r="G897" t="s">
        <v>2129</v>
      </c>
      <c r="H897" t="s">
        <v>120</v>
      </c>
      <c r="I897" t="s">
        <v>125</v>
      </c>
    </row>
    <row r="898" spans="1:9" x14ac:dyDescent="0.25">
      <c r="A898" s="4" t="str">
        <f>"826"</f>
        <v>826</v>
      </c>
      <c r="B898" s="4" t="s">
        <v>5075</v>
      </c>
      <c r="C898" t="s">
        <v>5076</v>
      </c>
      <c r="D898" t="s">
        <v>5077</v>
      </c>
      <c r="E898" t="str">
        <f>"763 07"</f>
        <v>763 07</v>
      </c>
      <c r="F898" t="s">
        <v>5078</v>
      </c>
      <c r="G898" t="s">
        <v>2129</v>
      </c>
      <c r="H898" t="s">
        <v>120</v>
      </c>
      <c r="I898" t="s">
        <v>125</v>
      </c>
    </row>
    <row r="899" spans="1:9" x14ac:dyDescent="0.25">
      <c r="A899" s="4" t="str">
        <f>"844"</f>
        <v>844</v>
      </c>
      <c r="B899" s="4" t="s">
        <v>5083</v>
      </c>
      <c r="C899" t="s">
        <v>5084</v>
      </c>
      <c r="D899" t="s">
        <v>5085</v>
      </c>
      <c r="E899" t="str">
        <f>"763 11"</f>
        <v>763 11</v>
      </c>
      <c r="F899" t="s">
        <v>5086</v>
      </c>
      <c r="G899" t="s">
        <v>2129</v>
      </c>
      <c r="H899" t="s">
        <v>120</v>
      </c>
      <c r="I899" t="s">
        <v>125</v>
      </c>
    </row>
    <row r="900" spans="1:9" x14ac:dyDescent="0.25">
      <c r="A900" s="4" t="str">
        <f>"848"</f>
        <v>848</v>
      </c>
      <c r="B900" s="4" t="s">
        <v>5087</v>
      </c>
      <c r="C900" t="s">
        <v>5088</v>
      </c>
      <c r="D900" t="s">
        <v>5089</v>
      </c>
      <c r="E900" t="str">
        <f>"763 12"</f>
        <v>763 12</v>
      </c>
      <c r="F900" t="s">
        <v>5090</v>
      </c>
      <c r="G900" t="s">
        <v>2129</v>
      </c>
      <c r="H900" t="s">
        <v>120</v>
      </c>
      <c r="I900" t="s">
        <v>125</v>
      </c>
    </row>
    <row r="901" spans="1:9" x14ac:dyDescent="0.25">
      <c r="A901" s="4" t="str">
        <f>"860"</f>
        <v>860</v>
      </c>
      <c r="B901" s="4" t="s">
        <v>5091</v>
      </c>
      <c r="C901" t="s">
        <v>5092</v>
      </c>
      <c r="D901" t="s">
        <v>5093</v>
      </c>
      <c r="E901" t="str">
        <f>"763 21"</f>
        <v>763 21</v>
      </c>
      <c r="F901" t="s">
        <v>4921</v>
      </c>
      <c r="G901" t="s">
        <v>2129</v>
      </c>
      <c r="H901" t="s">
        <v>120</v>
      </c>
      <c r="I901" t="s">
        <v>125</v>
      </c>
    </row>
    <row r="902" spans="1:9" x14ac:dyDescent="0.25">
      <c r="A902" s="4" t="str">
        <f>"872"</f>
        <v>872</v>
      </c>
      <c r="B902" s="4" t="s">
        <v>5094</v>
      </c>
      <c r="C902" t="s">
        <v>5095</v>
      </c>
      <c r="D902" t="s">
        <v>5096</v>
      </c>
      <c r="E902" t="str">
        <f>"763 12"</f>
        <v>763 12</v>
      </c>
      <c r="F902" t="s">
        <v>5097</v>
      </c>
      <c r="G902" t="s">
        <v>2129</v>
      </c>
      <c r="H902" t="s">
        <v>120</v>
      </c>
      <c r="I902" t="s">
        <v>125</v>
      </c>
    </row>
    <row r="903" spans="1:9" x14ac:dyDescent="0.25">
      <c r="A903" s="4" t="str">
        <f>"881"</f>
        <v>881</v>
      </c>
      <c r="B903" s="4" t="s">
        <v>5098</v>
      </c>
      <c r="C903" t="s">
        <v>5099</v>
      </c>
      <c r="D903" t="s">
        <v>5100</v>
      </c>
      <c r="E903" t="str">
        <f>"766 01"</f>
        <v>766 01</v>
      </c>
      <c r="F903" t="s">
        <v>5101</v>
      </c>
      <c r="G903" t="s">
        <v>2129</v>
      </c>
      <c r="H903" t="s">
        <v>120</v>
      </c>
      <c r="I903" t="s">
        <v>125</v>
      </c>
    </row>
    <row r="904" spans="1:9" x14ac:dyDescent="0.25">
      <c r="A904" s="4" t="str">
        <f>"884"</f>
        <v>884</v>
      </c>
      <c r="B904" s="4" t="s">
        <v>5102</v>
      </c>
      <c r="C904" t="s">
        <v>5103</v>
      </c>
      <c r="D904" t="s">
        <v>5104</v>
      </c>
      <c r="E904" t="str">
        <f>"766 01"</f>
        <v>766 01</v>
      </c>
      <c r="F904" t="s">
        <v>5105</v>
      </c>
      <c r="G904" t="s">
        <v>2129</v>
      </c>
      <c r="H904" t="s">
        <v>120</v>
      </c>
      <c r="I904" t="s">
        <v>125</v>
      </c>
    </row>
    <row r="905" spans="1:9" x14ac:dyDescent="0.25">
      <c r="A905" s="4" t="str">
        <f>"889"</f>
        <v>889</v>
      </c>
      <c r="B905" s="4" t="s">
        <v>5106</v>
      </c>
      <c r="C905" t="s">
        <v>5107</v>
      </c>
      <c r="D905" t="s">
        <v>5108</v>
      </c>
      <c r="E905" t="str">
        <f>"763 41"</f>
        <v>763 41</v>
      </c>
      <c r="F905" t="s">
        <v>5109</v>
      </c>
      <c r="G905" t="s">
        <v>2129</v>
      </c>
      <c r="H905" t="s">
        <v>120</v>
      </c>
      <c r="I905" t="s">
        <v>125</v>
      </c>
    </row>
    <row r="906" spans="1:9" x14ac:dyDescent="0.25">
      <c r="A906" s="4" t="str">
        <f>"906"</f>
        <v>906</v>
      </c>
      <c r="B906" s="4" t="s">
        <v>5110</v>
      </c>
      <c r="C906" t="s">
        <v>5111</v>
      </c>
      <c r="D906" t="s">
        <v>5112</v>
      </c>
      <c r="E906" t="str">
        <f>"763 15"</f>
        <v>763 15</v>
      </c>
      <c r="F906" t="s">
        <v>5113</v>
      </c>
      <c r="G906" t="s">
        <v>2129</v>
      </c>
      <c r="H906" t="s">
        <v>120</v>
      </c>
      <c r="I906" t="s">
        <v>125</v>
      </c>
    </row>
    <row r="907" spans="1:9" x14ac:dyDescent="0.25">
      <c r="A907" s="4" t="str">
        <f>"908"</f>
        <v>908</v>
      </c>
      <c r="B907" s="4" t="s">
        <v>5114</v>
      </c>
      <c r="C907" t="s">
        <v>1386</v>
      </c>
      <c r="D907" t="s">
        <v>5115</v>
      </c>
      <c r="E907" t="str">
        <f>"763 21"</f>
        <v>763 21</v>
      </c>
      <c r="F907" t="s">
        <v>1388</v>
      </c>
      <c r="G907" t="s">
        <v>2129</v>
      </c>
      <c r="H907" t="s">
        <v>120</v>
      </c>
      <c r="I907" t="s">
        <v>125</v>
      </c>
    </row>
    <row r="908" spans="1:9" x14ac:dyDescent="0.25">
      <c r="A908" s="4" t="str">
        <f>"912"</f>
        <v>912</v>
      </c>
      <c r="B908" s="4" t="s">
        <v>5116</v>
      </c>
      <c r="C908" t="s">
        <v>5117</v>
      </c>
      <c r="D908" t="s">
        <v>5118</v>
      </c>
      <c r="E908" t="str">
        <f>"763 21"</f>
        <v>763 21</v>
      </c>
      <c r="F908" t="s">
        <v>4921</v>
      </c>
      <c r="G908" t="s">
        <v>2129</v>
      </c>
      <c r="H908" t="s">
        <v>120</v>
      </c>
      <c r="I908" t="s">
        <v>125</v>
      </c>
    </row>
    <row r="909" spans="1:9" x14ac:dyDescent="0.25">
      <c r="A909" s="4" t="str">
        <f>"981"</f>
        <v>981</v>
      </c>
      <c r="B909" s="4" t="s">
        <v>5119</v>
      </c>
      <c r="C909" t="s">
        <v>5120</v>
      </c>
      <c r="D909" t="s">
        <v>5121</v>
      </c>
      <c r="E909" t="str">
        <f>"763 15"</f>
        <v>763 15</v>
      </c>
      <c r="F909" t="s">
        <v>5122</v>
      </c>
      <c r="G909" t="s">
        <v>2129</v>
      </c>
      <c r="H909" t="s">
        <v>120</v>
      </c>
      <c r="I909" t="s">
        <v>125</v>
      </c>
    </row>
    <row r="910" spans="1:9" x14ac:dyDescent="0.25">
      <c r="A910" s="4" t="str">
        <f>"989"</f>
        <v>989</v>
      </c>
      <c r="B910" s="4" t="s">
        <v>5123</v>
      </c>
      <c r="C910" t="s">
        <v>5124</v>
      </c>
      <c r="D910" t="s">
        <v>5125</v>
      </c>
      <c r="E910" t="str">
        <f>"763 24"</f>
        <v>763 24</v>
      </c>
      <c r="F910" t="s">
        <v>4957</v>
      </c>
      <c r="G910" t="s">
        <v>2129</v>
      </c>
      <c r="H910" t="s">
        <v>120</v>
      </c>
      <c r="I910" t="s">
        <v>125</v>
      </c>
    </row>
    <row r="911" spans="1:9" x14ac:dyDescent="0.25">
      <c r="A911" s="4" t="str">
        <f>"997"</f>
        <v>997</v>
      </c>
      <c r="B911" s="4" t="s">
        <v>5126</v>
      </c>
      <c r="C911" t="s">
        <v>5127</v>
      </c>
      <c r="D911" t="s">
        <v>5128</v>
      </c>
      <c r="E911" t="str">
        <f>"763 61"</f>
        <v>763 61</v>
      </c>
      <c r="F911" t="s">
        <v>5129</v>
      </c>
      <c r="G911" t="s">
        <v>2129</v>
      </c>
      <c r="H911" t="s">
        <v>120</v>
      </c>
      <c r="I911" t="s">
        <v>125</v>
      </c>
    </row>
    <row r="912" spans="1:9" x14ac:dyDescent="0.25">
      <c r="A912" s="4" t="str">
        <f>"1006"</f>
        <v>1006</v>
      </c>
      <c r="B912" s="4" t="s">
        <v>5130</v>
      </c>
      <c r="C912" t="s">
        <v>5131</v>
      </c>
      <c r="D912" t="s">
        <v>5132</v>
      </c>
      <c r="E912" t="str">
        <f>"763 01"</f>
        <v>763 01</v>
      </c>
      <c r="F912" t="s">
        <v>5133</v>
      </c>
      <c r="G912" t="s">
        <v>2129</v>
      </c>
      <c r="H912" t="s">
        <v>120</v>
      </c>
      <c r="I912" t="s">
        <v>125</v>
      </c>
    </row>
    <row r="913" spans="1:9" x14ac:dyDescent="0.25">
      <c r="A913" s="4" t="str">
        <f>"1024"</f>
        <v>1024</v>
      </c>
      <c r="B913" s="4" t="s">
        <v>5134</v>
      </c>
      <c r="C913" t="s">
        <v>5135</v>
      </c>
      <c r="D913" t="s">
        <v>5136</v>
      </c>
      <c r="E913" t="str">
        <f>"763 45"</f>
        <v>763 45</v>
      </c>
      <c r="F913" t="s">
        <v>5137</v>
      </c>
      <c r="G913" t="s">
        <v>2129</v>
      </c>
      <c r="H913" t="s">
        <v>120</v>
      </c>
      <c r="I913" t="s">
        <v>125</v>
      </c>
    </row>
    <row r="914" spans="1:9" x14ac:dyDescent="0.25">
      <c r="A914" s="4" t="str">
        <f>"1027"</f>
        <v>1027</v>
      </c>
      <c r="B914" s="4" t="s">
        <v>5138</v>
      </c>
      <c r="C914" t="s">
        <v>5139</v>
      </c>
      <c r="D914" t="s">
        <v>5140</v>
      </c>
      <c r="E914" t="str">
        <f>"763 63"</f>
        <v>763 63</v>
      </c>
      <c r="F914" t="s">
        <v>5141</v>
      </c>
      <c r="G914" t="s">
        <v>2129</v>
      </c>
      <c r="H914" t="s">
        <v>120</v>
      </c>
      <c r="I914" t="s">
        <v>125</v>
      </c>
    </row>
    <row r="915" spans="1:9" x14ac:dyDescent="0.25">
      <c r="A915" s="4" t="str">
        <f>"1110"</f>
        <v>1110</v>
      </c>
      <c r="B915" s="4" t="s">
        <v>5142</v>
      </c>
      <c r="C915" t="s">
        <v>5143</v>
      </c>
      <c r="D915" t="s">
        <v>5144</v>
      </c>
      <c r="E915" t="str">
        <f>"763 21"</f>
        <v>763 21</v>
      </c>
      <c r="F915" t="s">
        <v>5145</v>
      </c>
      <c r="G915" t="s">
        <v>2129</v>
      </c>
      <c r="H915" t="s">
        <v>120</v>
      </c>
      <c r="I915" t="s">
        <v>125</v>
      </c>
    </row>
    <row r="916" spans="1:9" x14ac:dyDescent="0.25">
      <c r="A916" s="4" t="str">
        <f>"1114"</f>
        <v>1114</v>
      </c>
      <c r="B916" s="4" t="s">
        <v>5146</v>
      </c>
      <c r="C916" t="s">
        <v>5147</v>
      </c>
      <c r="D916" t="s">
        <v>5148</v>
      </c>
      <c r="E916" t="str">
        <f>"763 19"</f>
        <v>763 19</v>
      </c>
      <c r="F916" t="s">
        <v>5017</v>
      </c>
      <c r="G916" t="s">
        <v>2129</v>
      </c>
      <c r="H916" t="s">
        <v>120</v>
      </c>
      <c r="I916" t="s">
        <v>125</v>
      </c>
    </row>
    <row r="917" spans="1:9" x14ac:dyDescent="0.25">
      <c r="A917" s="4" t="str">
        <f>"1127"</f>
        <v>1127</v>
      </c>
      <c r="B917" s="4" t="s">
        <v>5149</v>
      </c>
      <c r="C917" t="s">
        <v>5150</v>
      </c>
      <c r="D917" t="s">
        <v>5151</v>
      </c>
      <c r="E917" t="str">
        <f>"763 02"</f>
        <v>763 02</v>
      </c>
      <c r="F917" t="s">
        <v>5152</v>
      </c>
      <c r="G917" t="s">
        <v>2129</v>
      </c>
      <c r="H917" t="s">
        <v>120</v>
      </c>
      <c r="I917" t="s">
        <v>125</v>
      </c>
    </row>
    <row r="918" spans="1:9" x14ac:dyDescent="0.25">
      <c r="A918" s="4" t="str">
        <f>"1137"</f>
        <v>1137</v>
      </c>
      <c r="B918" s="4" t="s">
        <v>5153</v>
      </c>
      <c r="C918" t="s">
        <v>5154</v>
      </c>
      <c r="D918" t="s">
        <v>5155</v>
      </c>
      <c r="E918" t="str">
        <f>"763 19"</f>
        <v>763 19</v>
      </c>
      <c r="F918" t="s">
        <v>5156</v>
      </c>
      <c r="G918" t="s">
        <v>2129</v>
      </c>
      <c r="H918" t="s">
        <v>120</v>
      </c>
      <c r="I918" t="s">
        <v>125</v>
      </c>
    </row>
    <row r="919" spans="1:9" x14ac:dyDescent="0.25">
      <c r="A919" s="4" t="str">
        <f>"1139"</f>
        <v>1139</v>
      </c>
      <c r="B919" s="4" t="s">
        <v>5157</v>
      </c>
      <c r="C919" t="s">
        <v>5158</v>
      </c>
      <c r="D919" t="s">
        <v>5159</v>
      </c>
      <c r="E919" t="str">
        <f>"763 12"</f>
        <v>763 12</v>
      </c>
      <c r="F919" t="s">
        <v>5160</v>
      </c>
      <c r="G919" t="s">
        <v>2129</v>
      </c>
      <c r="H919" t="s">
        <v>120</v>
      </c>
      <c r="I919" t="s">
        <v>125</v>
      </c>
    </row>
    <row r="920" spans="1:9" x14ac:dyDescent="0.25">
      <c r="A920" s="4" t="str">
        <f>"1155"</f>
        <v>1155</v>
      </c>
      <c r="B920" s="4" t="s">
        <v>5161</v>
      </c>
      <c r="C920" t="s">
        <v>5162</v>
      </c>
      <c r="D920" t="s">
        <v>5163</v>
      </c>
      <c r="E920" t="str">
        <f>"763 21"</f>
        <v>763 21</v>
      </c>
      <c r="F920" t="s">
        <v>5164</v>
      </c>
      <c r="G920" t="s">
        <v>2129</v>
      </c>
      <c r="H920" t="s">
        <v>120</v>
      </c>
      <c r="I920" t="s">
        <v>125</v>
      </c>
    </row>
    <row r="921" spans="1:9" x14ac:dyDescent="0.25">
      <c r="A921" s="4" t="str">
        <f>"1237"</f>
        <v>1237</v>
      </c>
      <c r="B921" s="4" t="s">
        <v>5165</v>
      </c>
      <c r="C921" t="s">
        <v>5166</v>
      </c>
      <c r="D921" t="s">
        <v>5167</v>
      </c>
      <c r="E921" t="str">
        <f>"763 18"</f>
        <v>763 18</v>
      </c>
      <c r="F921" t="s">
        <v>5168</v>
      </c>
      <c r="G921" t="s">
        <v>2129</v>
      </c>
      <c r="H921" t="s">
        <v>120</v>
      </c>
      <c r="I921" t="s">
        <v>125</v>
      </c>
    </row>
    <row r="922" spans="1:9" x14ac:dyDescent="0.25">
      <c r="A922" s="4" t="str">
        <f>"1446"</f>
        <v>1446</v>
      </c>
      <c r="B922" s="4" t="s">
        <v>5169</v>
      </c>
      <c r="C922" t="s">
        <v>5170</v>
      </c>
      <c r="D922" t="s">
        <v>5171</v>
      </c>
      <c r="E922" t="str">
        <f>"763 25"</f>
        <v>763 25</v>
      </c>
      <c r="F922" t="s">
        <v>575</v>
      </c>
      <c r="G922" t="s">
        <v>2129</v>
      </c>
      <c r="H922" t="s">
        <v>120</v>
      </c>
      <c r="I922" t="s">
        <v>125</v>
      </c>
    </row>
    <row r="923" spans="1:9" x14ac:dyDescent="0.25">
      <c r="A923" s="4" t="str">
        <f>"1559"</f>
        <v>1559</v>
      </c>
      <c r="B923" s="4" t="s">
        <v>5172</v>
      </c>
      <c r="C923" t="s">
        <v>5173</v>
      </c>
      <c r="D923" t="s">
        <v>5174</v>
      </c>
      <c r="E923" t="str">
        <f>"763 33"</f>
        <v>763 33</v>
      </c>
      <c r="F923" t="s">
        <v>5175</v>
      </c>
      <c r="G923" t="s">
        <v>2129</v>
      </c>
      <c r="H923" t="s">
        <v>120</v>
      </c>
      <c r="I923" t="s">
        <v>125</v>
      </c>
    </row>
    <row r="924" spans="1:9" x14ac:dyDescent="0.25">
      <c r="A924" s="4" t="str">
        <f>"1664"</f>
        <v>1664</v>
      </c>
      <c r="B924" s="4" t="s">
        <v>5176</v>
      </c>
      <c r="C924" t="s">
        <v>5177</v>
      </c>
      <c r="D924" t="s">
        <v>5178</v>
      </c>
      <c r="E924" t="str">
        <f>"763 32"</f>
        <v>763 32</v>
      </c>
      <c r="F924" t="s">
        <v>5179</v>
      </c>
      <c r="G924" t="s">
        <v>2129</v>
      </c>
      <c r="H924" t="s">
        <v>120</v>
      </c>
      <c r="I924" t="s">
        <v>125</v>
      </c>
    </row>
    <row r="925" spans="1:9" x14ac:dyDescent="0.25">
      <c r="A925" s="4" t="str">
        <f>"2426"</f>
        <v>2426</v>
      </c>
      <c r="B925" s="4" t="s">
        <v>5180</v>
      </c>
      <c r="C925" t="s">
        <v>5181</v>
      </c>
      <c r="D925" t="s">
        <v>5182</v>
      </c>
      <c r="E925" t="str">
        <f>"763 07"</f>
        <v>763 07</v>
      </c>
      <c r="F925" t="s">
        <v>5074</v>
      </c>
      <c r="G925" t="s">
        <v>2129</v>
      </c>
      <c r="H925" t="s">
        <v>120</v>
      </c>
      <c r="I925" t="s">
        <v>125</v>
      </c>
    </row>
    <row r="926" spans="1:9" x14ac:dyDescent="0.25">
      <c r="A926" s="4" t="str">
        <f>"2430"</f>
        <v>2430</v>
      </c>
      <c r="B926" s="4" t="s">
        <v>5183</v>
      </c>
      <c r="C926" t="s">
        <v>5184</v>
      </c>
      <c r="D926" t="s">
        <v>5185</v>
      </c>
      <c r="E926" t="str">
        <f>"763 16"</f>
        <v>763 16</v>
      </c>
      <c r="F926" t="s">
        <v>5186</v>
      </c>
      <c r="G926" t="s">
        <v>2129</v>
      </c>
      <c r="H926" t="s">
        <v>120</v>
      </c>
      <c r="I926" t="s">
        <v>125</v>
      </c>
    </row>
    <row r="927" spans="1:9" x14ac:dyDescent="0.25">
      <c r="A927" s="4" t="str">
        <f>"2982"</f>
        <v>2982</v>
      </c>
      <c r="B927" s="4" t="s">
        <v>5187</v>
      </c>
      <c r="C927" t="s">
        <v>5188</v>
      </c>
      <c r="D927" t="s">
        <v>5189</v>
      </c>
      <c r="E927" t="str">
        <f>"763 26"</f>
        <v>763 26</v>
      </c>
      <c r="F927" t="s">
        <v>5190</v>
      </c>
      <c r="G927" t="s">
        <v>2129</v>
      </c>
      <c r="H927" t="s">
        <v>120</v>
      </c>
      <c r="I927" t="s">
        <v>125</v>
      </c>
    </row>
    <row r="928" spans="1:9" x14ac:dyDescent="0.25">
      <c r="A928" s="4" t="str">
        <f>"2985"</f>
        <v>2985</v>
      </c>
      <c r="B928" s="4" t="s">
        <v>5191</v>
      </c>
      <c r="C928" t="s">
        <v>5192</v>
      </c>
      <c r="D928" t="s">
        <v>5193</v>
      </c>
      <c r="E928" t="str">
        <f>"763 15"</f>
        <v>763 15</v>
      </c>
      <c r="F928" t="s">
        <v>5194</v>
      </c>
      <c r="G928" t="s">
        <v>2129</v>
      </c>
      <c r="H928" t="s">
        <v>120</v>
      </c>
      <c r="I928" t="s">
        <v>125</v>
      </c>
    </row>
    <row r="929" spans="1:9" x14ac:dyDescent="0.25">
      <c r="A929" s="4" t="str">
        <f>"4022"</f>
        <v>4022</v>
      </c>
      <c r="B929" s="4" t="s">
        <v>5195</v>
      </c>
      <c r="C929" t="s">
        <v>5196</v>
      </c>
      <c r="D929" t="s">
        <v>5197</v>
      </c>
      <c r="E929" t="str">
        <f>"766 01"</f>
        <v>766 01</v>
      </c>
      <c r="F929" t="s">
        <v>4924</v>
      </c>
      <c r="G929" t="s">
        <v>2129</v>
      </c>
      <c r="H929" t="s">
        <v>120</v>
      </c>
      <c r="I929" t="s">
        <v>125</v>
      </c>
    </row>
    <row r="930" spans="1:9" x14ac:dyDescent="0.25">
      <c r="A930" s="4" t="str">
        <f>"4819"</f>
        <v>4819</v>
      </c>
      <c r="B930" s="4" t="s">
        <v>5198</v>
      </c>
      <c r="C930" t="s">
        <v>5199</v>
      </c>
      <c r="D930" t="s">
        <v>5200</v>
      </c>
      <c r="E930" t="str">
        <f>"763 61"</f>
        <v>763 61</v>
      </c>
      <c r="F930" t="s">
        <v>5201</v>
      </c>
      <c r="G930" t="s">
        <v>2129</v>
      </c>
      <c r="H930" t="s">
        <v>120</v>
      </c>
      <c r="I930" t="s">
        <v>125</v>
      </c>
    </row>
    <row r="931" spans="1:9" x14ac:dyDescent="0.25">
      <c r="A931" s="4" t="str">
        <f>"4854"</f>
        <v>4854</v>
      </c>
      <c r="B931" s="4" t="s">
        <v>5202</v>
      </c>
      <c r="C931" t="s">
        <v>5203</v>
      </c>
      <c r="D931" t="s">
        <v>5204</v>
      </c>
      <c r="E931" t="str">
        <f>"766 01"</f>
        <v>766 01</v>
      </c>
      <c r="F931" t="s">
        <v>5205</v>
      </c>
      <c r="G931" t="s">
        <v>2129</v>
      </c>
      <c r="H931" t="s">
        <v>120</v>
      </c>
      <c r="I931" t="s">
        <v>125</v>
      </c>
    </row>
    <row r="932" spans="1:9" x14ac:dyDescent="0.25">
      <c r="A932" s="4" t="str">
        <f>"5171"</f>
        <v>5171</v>
      </c>
      <c r="B932" s="4" t="s">
        <v>5206</v>
      </c>
      <c r="C932" t="s">
        <v>5207</v>
      </c>
      <c r="D932" t="s">
        <v>5208</v>
      </c>
      <c r="E932" t="str">
        <f>"763 64"</f>
        <v>763 64</v>
      </c>
      <c r="F932" t="s">
        <v>5209</v>
      </c>
      <c r="G932" t="s">
        <v>2129</v>
      </c>
      <c r="H932" t="s">
        <v>120</v>
      </c>
      <c r="I932" t="s">
        <v>125</v>
      </c>
    </row>
    <row r="933" spans="1:9" x14ac:dyDescent="0.25">
      <c r="A933" s="4" t="str">
        <f>"5270"</f>
        <v>5270</v>
      </c>
      <c r="B933" s="4" t="s">
        <v>5210</v>
      </c>
      <c r="C933" t="s">
        <v>5211</v>
      </c>
      <c r="D933" t="s">
        <v>5212</v>
      </c>
      <c r="E933" t="str">
        <f>"763 11"</f>
        <v>763 11</v>
      </c>
      <c r="F933" t="s">
        <v>4903</v>
      </c>
      <c r="G933" t="s">
        <v>2129</v>
      </c>
      <c r="H933" t="s">
        <v>120</v>
      </c>
      <c r="I933" t="s">
        <v>125</v>
      </c>
    </row>
    <row r="934" spans="1:9" x14ac:dyDescent="0.25">
      <c r="A934" s="4" t="str">
        <f>"5469"</f>
        <v>5469</v>
      </c>
      <c r="B934" s="4" t="s">
        <v>5217</v>
      </c>
      <c r="C934" t="s">
        <v>5218</v>
      </c>
      <c r="D934" t="s">
        <v>5219</v>
      </c>
      <c r="E934" t="str">
        <f>"763 51"</f>
        <v>763 51</v>
      </c>
      <c r="F934" t="s">
        <v>5003</v>
      </c>
      <c r="G934" t="s">
        <v>2129</v>
      </c>
      <c r="H934" t="s">
        <v>120</v>
      </c>
      <c r="I934" t="s">
        <v>125</v>
      </c>
    </row>
    <row r="935" spans="1:9" x14ac:dyDescent="0.25">
      <c r="A935" s="4" t="str">
        <f>"5476"</f>
        <v>5476</v>
      </c>
      <c r="B935" s="4" t="s">
        <v>5220</v>
      </c>
      <c r="C935" t="s">
        <v>5221</v>
      </c>
      <c r="D935" t="s">
        <v>5222</v>
      </c>
      <c r="E935" t="str">
        <f>"763 18"</f>
        <v>763 18</v>
      </c>
      <c r="F935" t="s">
        <v>5223</v>
      </c>
      <c r="G935" t="s">
        <v>2129</v>
      </c>
      <c r="H935" t="s">
        <v>120</v>
      </c>
      <c r="I935" t="s">
        <v>125</v>
      </c>
    </row>
    <row r="936" spans="1:9" x14ac:dyDescent="0.25">
      <c r="A936" s="4" t="str">
        <f>"6394"</f>
        <v>6394</v>
      </c>
      <c r="B936" s="4" t="s">
        <v>5224</v>
      </c>
      <c r="C936" t="s">
        <v>5225</v>
      </c>
      <c r="D936" t="s">
        <v>5226</v>
      </c>
      <c r="E936" t="str">
        <f>"763 11"</f>
        <v>763 11</v>
      </c>
      <c r="F936" t="s">
        <v>5227</v>
      </c>
      <c r="G936" t="s">
        <v>2129</v>
      </c>
      <c r="H936" t="s">
        <v>120</v>
      </c>
      <c r="I936" t="s">
        <v>125</v>
      </c>
    </row>
    <row r="937" spans="1:9" x14ac:dyDescent="0.25">
      <c r="A937" s="4" t="str">
        <f>"0096"</f>
        <v>0096</v>
      </c>
      <c r="B937" s="4" t="s">
        <v>4980</v>
      </c>
      <c r="C937" t="s">
        <v>4981</v>
      </c>
      <c r="D937" t="s">
        <v>4982</v>
      </c>
      <c r="E937" t="str">
        <f>"763 17"</f>
        <v>763 17</v>
      </c>
      <c r="F937" t="s">
        <v>4983</v>
      </c>
      <c r="G937" t="s">
        <v>2129</v>
      </c>
      <c r="H937" t="s">
        <v>120</v>
      </c>
      <c r="I937" t="s">
        <v>125</v>
      </c>
    </row>
  </sheetData>
  <sortState ref="A2:K935">
    <sortCondition ref="G2:G935"/>
  </sortState>
  <mergeCells count="1">
    <mergeCell ref="A1:I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z vlastních fondů</vt:lpstr>
      <vt:lpstr>z výměnných fondů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Zahořík Radovan</dc:creator>
  <cp:lastModifiedBy>Smetanová Dana</cp:lastModifiedBy>
  <dcterms:created xsi:type="dcterms:W3CDTF">2018-12-17T09:49:27Z</dcterms:created>
  <dcterms:modified xsi:type="dcterms:W3CDTF">2019-11-14T11:44:27Z</dcterms:modified>
</cp:coreProperties>
</file>